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476" windowWidth="8475" windowHeight="6615" activeTab="2"/>
  </bookViews>
  <sheets>
    <sheet name="Our Data" sheetId="1" r:id="rId1"/>
    <sheet name="Graph" sheetId="2" r:id="rId2"/>
    <sheet name="All Data" sheetId="3" r:id="rId3"/>
  </sheets>
  <definedNames/>
  <calcPr fullCalcOnLoad="1"/>
</workbook>
</file>

<file path=xl/sharedStrings.xml><?xml version="1.0" encoding="utf-8"?>
<sst xmlns="http://schemas.openxmlformats.org/spreadsheetml/2006/main" count="126" uniqueCount="66">
  <si>
    <t>efficiency</t>
  </si>
  <si>
    <t>%</t>
  </si>
  <si>
    <t>I  (A)</t>
  </si>
  <si>
    <t>Time (ms)</t>
  </si>
  <si>
    <t>Av</t>
  </si>
  <si>
    <t>kg</t>
  </si>
  <si>
    <t>m</t>
  </si>
  <si>
    <t>degrees</t>
  </si>
  <si>
    <t>Mass</t>
  </si>
  <si>
    <t>Distance</t>
  </si>
  <si>
    <t>Average radius</t>
  </si>
  <si>
    <t>Angle rotated</t>
  </si>
  <si>
    <t>Force</t>
  </si>
  <si>
    <t>fixed by program</t>
  </si>
  <si>
    <t>measured directly</t>
  </si>
  <si>
    <t>computed</t>
  </si>
  <si>
    <t>N</t>
  </si>
  <si>
    <t>Torque</t>
  </si>
  <si>
    <t>N-m</t>
  </si>
  <si>
    <t>Voltage</t>
  </si>
  <si>
    <t>V</t>
  </si>
  <si>
    <t>Mech. Work</t>
  </si>
  <si>
    <t>J</t>
  </si>
  <si>
    <t>A</t>
  </si>
  <si>
    <t>measured/estimated</t>
  </si>
  <si>
    <t>motor current</t>
  </si>
  <si>
    <t>Considering Total Current Only</t>
  </si>
  <si>
    <t>Isolating Motor Current</t>
  </si>
  <si>
    <t>Overhead (non-motor) current</t>
  </si>
  <si>
    <t>Current with motor unplugged at rest: 0.06A</t>
  </si>
  <si>
    <t>Current with motor plugged in at rest: 0.08A</t>
  </si>
  <si>
    <t>Motor sensor current: 0.02A</t>
  </si>
  <si>
    <t>Current while program running w/ motor unplugged: 0.09A</t>
  </si>
  <si>
    <t>Estimated total current overhead (NXT brick + quadrature encoder): 0.11A</t>
  </si>
  <si>
    <t>mech. power (W)</t>
  </si>
  <si>
    <t>e. pow. (W)</t>
  </si>
  <si>
    <t>avg. eff.</t>
  </si>
  <si>
    <t>power</t>
  </si>
  <si>
    <t>100g</t>
  </si>
  <si>
    <t>Frida Tan</t>
  </si>
  <si>
    <t>Average</t>
  </si>
  <si>
    <t>200g</t>
  </si>
  <si>
    <t>Anton Ivan</t>
  </si>
  <si>
    <t>N/A</t>
  </si>
  <si>
    <t>Hazmen Mohamed</t>
  </si>
  <si>
    <t>Torq (Nm)</t>
  </si>
  <si>
    <t>Rebecca Chan</t>
  </si>
  <si>
    <t>Leroy Perrault</t>
  </si>
  <si>
    <t>Danny Philip</t>
  </si>
  <si>
    <t>300g</t>
  </si>
  <si>
    <t>Alex &amp; Alex</t>
  </si>
  <si>
    <t>Apul &amp; Dennis</t>
  </si>
  <si>
    <t>David Antoine</t>
  </si>
  <si>
    <t>Kamel Antoine</t>
  </si>
  <si>
    <t>Lassonde Eranke</t>
  </si>
  <si>
    <t>Tom Simon</t>
  </si>
  <si>
    <t>400g</t>
  </si>
  <si>
    <t>Ching Wai Chi</t>
  </si>
  <si>
    <t>Julier Olivier</t>
  </si>
  <si>
    <t>Tanjima Violet</t>
  </si>
  <si>
    <t>500g</t>
  </si>
  <si>
    <t>Diego Mascarella</t>
  </si>
  <si>
    <t>Jule &amp; Paul</t>
  </si>
  <si>
    <t>N/A (no radius)</t>
  </si>
  <si>
    <t>Phil &amp; Adam</t>
  </si>
  <si>
    <t>Rishi Rajalingham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</si>
</sst>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%"/>
    <numFmt numFmtId="170" formatCode="0.0000"/>
    <numFmt numFmtId="171" formatCode="0.000000"/>
    <numFmt numFmtId="172" formatCode="0.00000"/>
    <numFmt numFmtId="173" formatCode="0.0"/>
    <numFmt numFmtId="174" formatCode="0.0000000"/>
    <numFmt numFmtId="175" formatCode="0.00000000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8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9" xfId="0" applyFont="1" applyBorder="1" applyAlignment="1">
      <alignment/>
    </xf>
    <xf numFmtId="2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9" fontId="5" fillId="0" borderId="12" xfId="0" applyNumberFormat="1" applyFont="1" applyBorder="1" applyAlignment="1">
      <alignment horizontal="center" vertical="center" textRotation="180"/>
    </xf>
    <xf numFmtId="0" fontId="5" fillId="0" borderId="13" xfId="0" applyFont="1" applyBorder="1" applyAlignment="1">
      <alignment horizontal="center" vertical="center" textRotation="180"/>
    </xf>
    <xf numFmtId="0" fontId="5" fillId="0" borderId="11" xfId="0" applyFont="1" applyBorder="1" applyAlignment="1">
      <alignment horizontal="center" vertical="center" textRotation="180"/>
    </xf>
    <xf numFmtId="9" fontId="5" fillId="0" borderId="4" xfId="0" applyNumberFormat="1" applyFont="1" applyBorder="1" applyAlignment="1">
      <alignment horizontal="center" vertical="center" textRotation="180"/>
    </xf>
    <xf numFmtId="0" fontId="5" fillId="0" borderId="5" xfId="0" applyFont="1" applyBorder="1" applyAlignment="1">
      <alignment horizontal="center" vertical="center" textRotation="180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10" fontId="0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170" fontId="5" fillId="0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 as Function of Power Level (3.5 N-cm load)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'Our Data'!$D$98:$D$107</c:f>
              <c:numCache/>
            </c:numRef>
          </c:xVal>
          <c:yVal>
            <c:numRef>
              <c:f>'Our Data'!$L$98:$L$107</c:f>
              <c:numCache>
                <c:ptCount val="10"/>
                <c:pt idx="0">
                  <c:v>0.1160114067446302</c:v>
                </c:pt>
                <c:pt idx="1">
                  <c:v>0.1155366735264795</c:v>
                </c:pt>
                <c:pt idx="2">
                  <c:v>0.12603097295834725</c:v>
                </c:pt>
                <c:pt idx="3">
                  <c:v>0.13678149602170195</c:v>
                </c:pt>
                <c:pt idx="4">
                  <c:v>0.12672475601012542</c:v>
                </c:pt>
                <c:pt idx="5">
                  <c:v>0.11605410838972331</c:v>
                </c:pt>
                <c:pt idx="6">
                  <c:v>0.1004592626424095</c:v>
                </c:pt>
                <c:pt idx="7">
                  <c:v>0.08374079103296951</c:v>
                </c:pt>
                <c:pt idx="8">
                  <c:v>0.06036764616191557</c:v>
                </c:pt>
                <c:pt idx="9">
                  <c:v>0.03562163770538475</c:v>
                </c:pt>
              </c:numCache>
            </c:numRef>
          </c:yVal>
          <c:smooth val="0"/>
        </c:ser>
        <c:ser>
          <c:idx val="1"/>
          <c:order val="1"/>
          <c:tx>
            <c:v>Motor Only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'Our Data'!$D$98:$D$107</c:f>
              <c:numCache/>
            </c:numRef>
          </c:xVal>
          <c:yVal>
            <c:numRef>
              <c:f>'Our Data'!$Q$98:$Q$107</c:f>
              <c:numCache>
                <c:ptCount val="10"/>
                <c:pt idx="0">
                  <c:v>0.17981768045417681</c:v>
                </c:pt>
                <c:pt idx="1">
                  <c:v>0.18774709448052915</c:v>
                </c:pt>
                <c:pt idx="2">
                  <c:v>0.20758042604904253</c:v>
                </c:pt>
                <c:pt idx="3">
                  <c:v>0.23200911983427921</c:v>
                </c:pt>
                <c:pt idx="4">
                  <c:v>0.22220231190816514</c:v>
                </c:pt>
                <c:pt idx="5">
                  <c:v>0.21132240632158572</c:v>
                </c:pt>
                <c:pt idx="6">
                  <c:v>0.1854632541090637</c:v>
                </c:pt>
                <c:pt idx="7">
                  <c:v>0.15684783082365716</c:v>
                </c:pt>
                <c:pt idx="8">
                  <c:v>0.11861712930060603</c:v>
                </c:pt>
                <c:pt idx="9">
                  <c:v>0.08460138955028879</c:v>
                </c:pt>
              </c:numCache>
            </c:numRef>
          </c:yVal>
          <c:smooth val="0"/>
        </c:ser>
        <c:axId val="32597424"/>
        <c:axId val="24941361"/>
      </c:scatterChart>
      <c:valAx>
        <c:axId val="3259742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1361"/>
        <c:crosses val="autoZero"/>
        <c:crossBetween val="midCat"/>
        <c:dispUnits/>
      </c:valAx>
      <c:valAx>
        <c:axId val="2494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7424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Efficency as a function of motor power input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1.099 Ncm (100g)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'All Data'!$A$7:$A$16</c:f>
              <c:numCach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cat>
          <c:val>
            <c:numRef>
              <c:f>'All Data'!$D$7:$D$16</c:f>
              <c:numCache>
                <c:ptCount val="10"/>
                <c:pt idx="0">
                  <c:v>1.92995245</c:v>
                </c:pt>
                <c:pt idx="1">
                  <c:v>3.52398313428468</c:v>
                </c:pt>
                <c:pt idx="2">
                  <c:v>4.8929272376337</c:v>
                </c:pt>
                <c:pt idx="3">
                  <c:v>6.158253939564496</c:v>
                </c:pt>
                <c:pt idx="4">
                  <c:v>7.921811633225165</c:v>
                </c:pt>
                <c:pt idx="5">
                  <c:v>7.858478222349684</c:v>
                </c:pt>
                <c:pt idx="6">
                  <c:v>8.689660560155229</c:v>
                </c:pt>
                <c:pt idx="7">
                  <c:v>9.199020191636995</c:v>
                </c:pt>
                <c:pt idx="8">
                  <c:v>9.417137981094754</c:v>
                </c:pt>
                <c:pt idx="9">
                  <c:v>9.003788189026196</c:v>
                </c:pt>
              </c:numCache>
            </c:numRef>
          </c:val>
          <c:smooth val="0"/>
        </c:ser>
        <c:ser>
          <c:idx val="1"/>
          <c:order val="1"/>
          <c:tx>
            <c:v>2.309 Ncm (200g)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Data'!$F$21:$F$30</c:f>
              <c:numCache>
                <c:ptCount val="10"/>
                <c:pt idx="0">
                  <c:v>3.723333333333333</c:v>
                </c:pt>
                <c:pt idx="1">
                  <c:v>5.730075454131268</c:v>
                </c:pt>
                <c:pt idx="2">
                  <c:v>7.839317102803584</c:v>
                </c:pt>
                <c:pt idx="3">
                  <c:v>10.375483128782205</c:v>
                </c:pt>
                <c:pt idx="4">
                  <c:v>12.16152090932971</c:v>
                </c:pt>
                <c:pt idx="5">
                  <c:v>13.361854405992858</c:v>
                </c:pt>
                <c:pt idx="6">
                  <c:v>13.249218467544335</c:v>
                </c:pt>
                <c:pt idx="7">
                  <c:v>14.114203201443047</c:v>
                </c:pt>
                <c:pt idx="8">
                  <c:v>14.729880166535814</c:v>
                </c:pt>
                <c:pt idx="9">
                  <c:v>15.55911763749015</c:v>
                </c:pt>
              </c:numCache>
            </c:numRef>
          </c:val>
          <c:smooth val="0"/>
        </c:ser>
        <c:ser>
          <c:idx val="2"/>
          <c:order val="2"/>
          <c:tx>
            <c:v>3.585 Ncm (300g)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Data'!$H$35:$H$44</c:f>
              <c:numCache>
                <c:ptCount val="10"/>
                <c:pt idx="0">
                  <c:v>4.0229029486687224</c:v>
                </c:pt>
                <c:pt idx="1">
                  <c:v>7.001602691601737</c:v>
                </c:pt>
                <c:pt idx="2">
                  <c:v>9.341152407511284</c:v>
                </c:pt>
                <c:pt idx="3">
                  <c:v>11.087894645081306</c:v>
                </c:pt>
                <c:pt idx="4">
                  <c:v>12.543617349365581</c:v>
                </c:pt>
                <c:pt idx="5">
                  <c:v>13.429122307667157</c:v>
                </c:pt>
                <c:pt idx="6">
                  <c:v>14.048529505700051</c:v>
                </c:pt>
                <c:pt idx="7">
                  <c:v>13.87895366519683</c:v>
                </c:pt>
                <c:pt idx="8">
                  <c:v>14.123405374108529</c:v>
                </c:pt>
                <c:pt idx="9">
                  <c:v>14.517305277320967</c:v>
                </c:pt>
              </c:numCache>
            </c:numRef>
          </c:val>
          <c:smooth val="0"/>
        </c:ser>
        <c:ser>
          <c:idx val="3"/>
          <c:order val="3"/>
          <c:tx>
            <c:v>4.732 Ncm (400g)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Data'!$E$49:$E$58</c:f>
              <c:numCache>
                <c:ptCount val="10"/>
                <c:pt idx="0">
                  <c:v>3.9697413333333333</c:v>
                </c:pt>
                <c:pt idx="1">
                  <c:v>7.081472000000001</c:v>
                </c:pt>
                <c:pt idx="2">
                  <c:v>9.628143333333334</c:v>
                </c:pt>
                <c:pt idx="3">
                  <c:v>11.59057</c:v>
                </c:pt>
                <c:pt idx="4">
                  <c:v>13.158256666666666</c:v>
                </c:pt>
                <c:pt idx="5">
                  <c:v>14.425780000000001</c:v>
                </c:pt>
                <c:pt idx="6">
                  <c:v>15.49895</c:v>
                </c:pt>
                <c:pt idx="7">
                  <c:v>16.52028333333333</c:v>
                </c:pt>
                <c:pt idx="8">
                  <c:v>16.766703333333336</c:v>
                </c:pt>
                <c:pt idx="9">
                  <c:v>16.424963333333334</c:v>
                </c:pt>
              </c:numCache>
            </c:numRef>
          </c:val>
          <c:smooth val="0"/>
        </c:ser>
        <c:ser>
          <c:idx val="4"/>
          <c:order val="4"/>
          <c:tx>
            <c:v>5.67 Ncm (500g)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Data'!$F$63:$F$72</c:f>
              <c:numCache>
                <c:ptCount val="10"/>
                <c:pt idx="0">
                  <c:v>4.643209020720216</c:v>
                </c:pt>
                <c:pt idx="1">
                  <c:v>7.608189174705522</c:v>
                </c:pt>
                <c:pt idx="2">
                  <c:v>9.913782840305764</c:v>
                </c:pt>
                <c:pt idx="3">
                  <c:v>11.206952995313044</c:v>
                </c:pt>
                <c:pt idx="4">
                  <c:v>12.744163710763734</c:v>
                </c:pt>
                <c:pt idx="5">
                  <c:v>14.4932450105959</c:v>
                </c:pt>
                <c:pt idx="6">
                  <c:v>15.089565934046623</c:v>
                </c:pt>
                <c:pt idx="7">
                  <c:v>16.239902444054493</c:v>
                </c:pt>
                <c:pt idx="8">
                  <c:v>15.68119193093636</c:v>
                </c:pt>
                <c:pt idx="9">
                  <c:v>14.839377133252682</c:v>
                </c:pt>
              </c:numCache>
            </c:numRef>
          </c:val>
          <c:smooth val="0"/>
        </c:ser>
        <c:marker val="1"/>
        <c:axId val="23145658"/>
        <c:axId val="6984331"/>
      </c:lineChart>
      <c:catAx>
        <c:axId val="2314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max motor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84331"/>
        <c:crosses val="autoZero"/>
        <c:auto val="1"/>
        <c:lblOffset val="100"/>
        <c:noMultiLvlLbl val="0"/>
      </c:catAx>
      <c:valAx>
        <c:axId val="698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45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107</xdr:row>
      <xdr:rowOff>152400</xdr:rowOff>
    </xdr:from>
    <xdr:to>
      <xdr:col>14</xdr:col>
      <xdr:colOff>552450</xdr:colOff>
      <xdr:row>129</xdr:row>
      <xdr:rowOff>104775</xdr:rowOff>
    </xdr:to>
    <xdr:graphicFrame>
      <xdr:nvGraphicFramePr>
        <xdr:cNvPr id="1" name="Chart 1"/>
        <xdr:cNvGraphicFramePr/>
      </xdr:nvGraphicFramePr>
      <xdr:xfrm>
        <a:off x="314325" y="17897475"/>
        <a:ext cx="6229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107"/>
  <sheetViews>
    <sheetView workbookViewId="0" topLeftCell="A93">
      <selection activeCell="G96" sqref="G96"/>
    </sheetView>
  </sheetViews>
  <sheetFormatPr defaultColWidth="9.140625" defaultRowHeight="12.75"/>
  <cols>
    <col min="1" max="1" width="1.7109375" style="0" customWidth="1"/>
    <col min="2" max="2" width="3.00390625" style="0" customWidth="1"/>
    <col min="5" max="6" width="3.00390625" style="0" customWidth="1"/>
    <col min="7" max="7" width="11.00390625" style="0" customWidth="1"/>
    <col min="9" max="10" width="3.00390625" style="0" customWidth="1"/>
    <col min="11" max="11" width="11.140625" style="0" customWidth="1"/>
    <col min="12" max="12" width="12.140625" style="0" customWidth="1"/>
    <col min="13" max="13" width="3.00390625" style="0" customWidth="1"/>
    <col min="14" max="14" width="8.421875" style="0" customWidth="1"/>
    <col min="15" max="15" width="11.7109375" style="0" customWidth="1"/>
    <col min="16" max="16" width="9.8515625" style="0" customWidth="1"/>
    <col min="17" max="18" width="9.421875" style="0" customWidth="1"/>
  </cols>
  <sheetData>
    <row r="2" spans="3:8" ht="12.75">
      <c r="C2" s="27"/>
      <c r="D2" s="27"/>
      <c r="E2" s="27"/>
      <c r="F2" s="27"/>
      <c r="G2" s="27"/>
      <c r="H2" s="27"/>
    </row>
    <row r="3" spans="3:24" ht="12.75">
      <c r="C3" s="27" t="s">
        <v>11</v>
      </c>
      <c r="D3" s="27"/>
      <c r="E3" s="27"/>
      <c r="F3" s="27"/>
      <c r="G3" s="27">
        <v>2160</v>
      </c>
      <c r="H3" s="27" t="s">
        <v>7</v>
      </c>
      <c r="K3" t="s">
        <v>13</v>
      </c>
      <c r="P3" s="27" t="s">
        <v>29</v>
      </c>
      <c r="Q3" s="27"/>
      <c r="R3" s="27"/>
      <c r="S3" s="27"/>
      <c r="T3" s="27"/>
      <c r="U3" s="27"/>
      <c r="V3" s="27"/>
      <c r="W3" s="27"/>
      <c r="X3" s="27"/>
    </row>
    <row r="4" spans="3:24" ht="12.75">
      <c r="C4" s="27" t="s">
        <v>8</v>
      </c>
      <c r="D4" s="27"/>
      <c r="E4" s="27"/>
      <c r="F4" s="27"/>
      <c r="G4" s="27">
        <v>0.303</v>
      </c>
      <c r="H4" s="27" t="s">
        <v>5</v>
      </c>
      <c r="K4" t="s">
        <v>14</v>
      </c>
      <c r="P4" s="27" t="s">
        <v>30</v>
      </c>
      <c r="Q4" s="27"/>
      <c r="R4" s="27"/>
      <c r="S4" s="27"/>
      <c r="T4" s="27"/>
      <c r="U4" s="27"/>
      <c r="V4" s="27"/>
      <c r="W4" s="27"/>
      <c r="X4" s="27"/>
    </row>
    <row r="5" spans="3:24" ht="12.75">
      <c r="C5" s="27" t="s">
        <v>9</v>
      </c>
      <c r="D5" s="27"/>
      <c r="E5" s="27"/>
      <c r="F5" s="27"/>
      <c r="G5" s="27">
        <v>0.448</v>
      </c>
      <c r="H5" s="27" t="s">
        <v>6</v>
      </c>
      <c r="K5" t="s">
        <v>14</v>
      </c>
      <c r="P5" s="27" t="s">
        <v>31</v>
      </c>
      <c r="Q5" s="27"/>
      <c r="R5" s="27"/>
      <c r="S5" s="27"/>
      <c r="T5" s="27"/>
      <c r="U5" s="27"/>
      <c r="V5" s="27"/>
      <c r="W5" s="27"/>
      <c r="X5" s="27"/>
    </row>
    <row r="6" spans="3:24" ht="12.75">
      <c r="C6" s="27" t="s">
        <v>19</v>
      </c>
      <c r="D6" s="27"/>
      <c r="E6" s="27"/>
      <c r="F6" s="27"/>
      <c r="G6" s="27">
        <v>9</v>
      </c>
      <c r="H6" s="27" t="s">
        <v>20</v>
      </c>
      <c r="K6" t="s">
        <v>14</v>
      </c>
      <c r="P6" s="27" t="s">
        <v>32</v>
      </c>
      <c r="Q6" s="27"/>
      <c r="R6" s="27"/>
      <c r="S6" s="27"/>
      <c r="T6" s="27"/>
      <c r="U6" s="27"/>
      <c r="V6" s="27"/>
      <c r="W6" s="27"/>
      <c r="X6" s="27"/>
    </row>
    <row r="7" spans="3:24" ht="12.75">
      <c r="C7" s="27" t="s">
        <v>28</v>
      </c>
      <c r="D7" s="27"/>
      <c r="E7" s="27"/>
      <c r="F7" s="27"/>
      <c r="G7" s="27">
        <v>0.11</v>
      </c>
      <c r="H7" s="27" t="s">
        <v>23</v>
      </c>
      <c r="K7" t="s">
        <v>24</v>
      </c>
      <c r="P7" s="27" t="s">
        <v>33</v>
      </c>
      <c r="Q7" s="27"/>
      <c r="R7" s="27"/>
      <c r="S7" s="27"/>
      <c r="T7" s="27"/>
      <c r="U7" s="27"/>
      <c r="V7" s="27"/>
      <c r="W7" s="27"/>
      <c r="X7" s="27"/>
    </row>
    <row r="8" spans="3:24" ht="12.75">
      <c r="C8" s="27"/>
      <c r="D8" s="27"/>
      <c r="E8" s="27"/>
      <c r="F8" s="27"/>
      <c r="G8" s="27"/>
      <c r="H8" s="27"/>
      <c r="Q8" s="27"/>
      <c r="R8" s="27"/>
      <c r="S8" s="27"/>
      <c r="T8" s="27"/>
      <c r="U8" s="27"/>
      <c r="V8" s="27"/>
      <c r="W8" s="27"/>
      <c r="X8" s="27"/>
    </row>
    <row r="9" spans="3:11" ht="12.75">
      <c r="C9" s="27" t="s">
        <v>10</v>
      </c>
      <c r="D9" s="27"/>
      <c r="E9" s="27"/>
      <c r="F9" s="27"/>
      <c r="G9" s="41">
        <f>G5/(G3/360*2*PI())</f>
        <v>0.011883569084194853</v>
      </c>
      <c r="H9" s="27" t="s">
        <v>6</v>
      </c>
      <c r="K9" t="s">
        <v>15</v>
      </c>
    </row>
    <row r="10" spans="3:11" ht="12.75">
      <c r="C10" s="27" t="s">
        <v>12</v>
      </c>
      <c r="D10" s="27"/>
      <c r="E10" s="27"/>
      <c r="F10" s="27"/>
      <c r="G10" s="42">
        <f>G4*9.8</f>
        <v>2.9694000000000003</v>
      </c>
      <c r="H10" s="27" t="s">
        <v>16</v>
      </c>
      <c r="K10" t="s">
        <v>15</v>
      </c>
    </row>
    <row r="11" spans="3:11" ht="12.75">
      <c r="C11" s="27" t="s">
        <v>17</v>
      </c>
      <c r="D11" s="27"/>
      <c r="E11" s="27"/>
      <c r="F11" s="27"/>
      <c r="G11" s="41">
        <f>G9*G10</f>
        <v>0.0352870700386082</v>
      </c>
      <c r="H11" s="27" t="s">
        <v>18</v>
      </c>
      <c r="K11" t="s">
        <v>15</v>
      </c>
    </row>
    <row r="12" spans="3:11" ht="12.75">
      <c r="C12" s="27" t="s">
        <v>21</v>
      </c>
      <c r="D12" s="27"/>
      <c r="E12" s="27"/>
      <c r="F12" s="27"/>
      <c r="G12" s="43">
        <f>G10*G5</f>
        <v>1.3302912000000002</v>
      </c>
      <c r="H12" s="27" t="s">
        <v>22</v>
      </c>
      <c r="K12" t="s">
        <v>15</v>
      </c>
    </row>
    <row r="13" spans="3:8" ht="12.75">
      <c r="C13" s="27"/>
      <c r="D13" s="27"/>
      <c r="E13" s="27"/>
      <c r="F13" s="27"/>
      <c r="G13" s="27"/>
      <c r="H13" s="27"/>
    </row>
    <row r="14" spans="3:8" ht="12.75">
      <c r="C14" s="27"/>
      <c r="D14" s="27"/>
      <c r="E14" s="27"/>
      <c r="F14" s="27"/>
      <c r="G14" s="27"/>
      <c r="H14" s="27"/>
    </row>
    <row r="15" spans="6:15" ht="16.5" thickBot="1">
      <c r="F15" s="2"/>
      <c r="K15" s="27" t="s">
        <v>26</v>
      </c>
      <c r="O15" t="s">
        <v>27</v>
      </c>
    </row>
    <row r="16" spans="3:39" ht="13.5" thickBot="1">
      <c r="C16" s="10" t="s">
        <v>2</v>
      </c>
      <c r="D16" s="11" t="s">
        <v>3</v>
      </c>
      <c r="E16" s="4"/>
      <c r="G16" t="s">
        <v>34</v>
      </c>
      <c r="K16" t="s">
        <v>35</v>
      </c>
      <c r="L16" t="s">
        <v>0</v>
      </c>
      <c r="M16" s="5"/>
      <c r="O16" t="s">
        <v>25</v>
      </c>
      <c r="P16" t="s">
        <v>35</v>
      </c>
      <c r="Q16" s="23"/>
      <c r="U16" s="4"/>
      <c r="V16" s="5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2:39" ht="12.75">
      <c r="B17" s="49">
        <v>1</v>
      </c>
      <c r="C17" s="12">
        <v>0.31</v>
      </c>
      <c r="D17" s="6">
        <v>4121</v>
      </c>
      <c r="G17" s="28">
        <f aca="true" t="shared" si="0" ref="G17:G22">G$12/(D17/1000)</f>
        <v>0.3228078621693764</v>
      </c>
      <c r="K17" s="28">
        <f aca="true" t="shared" si="1" ref="K17:K22">C17*G$6</f>
        <v>2.79</v>
      </c>
      <c r="L17" s="29">
        <f aca="true" t="shared" si="2" ref="L17:L22">G17/K17</f>
        <v>0.11570174271303814</v>
      </c>
      <c r="M17" s="5"/>
      <c r="O17" s="3">
        <f aca="true" t="shared" si="3" ref="O17:O22">C17-G$7</f>
        <v>0.2</v>
      </c>
      <c r="P17" s="28">
        <f aca="true" t="shared" si="4" ref="P17:P22">O17*G$6</f>
        <v>1.8</v>
      </c>
      <c r="Q17" s="29">
        <f>G17/P17</f>
        <v>0.17933770120520912</v>
      </c>
      <c r="U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2:39" ht="12.75">
      <c r="B18" s="50"/>
      <c r="C18" s="13">
        <v>0.33</v>
      </c>
      <c r="D18" s="8">
        <v>4110</v>
      </c>
      <c r="G18" s="28">
        <f t="shared" si="0"/>
        <v>0.32367182481751827</v>
      </c>
      <c r="K18" s="28">
        <f t="shared" si="1"/>
        <v>2.97</v>
      </c>
      <c r="L18" s="29">
        <f t="shared" si="2"/>
        <v>0.10898041239647079</v>
      </c>
      <c r="M18" s="5"/>
      <c r="O18" s="3">
        <f t="shared" si="3"/>
        <v>0.22000000000000003</v>
      </c>
      <c r="P18" s="28">
        <f t="shared" si="4"/>
        <v>1.9800000000000002</v>
      </c>
      <c r="Q18" s="29">
        <f aca="true" t="shared" si="5" ref="Q18:Q81">G18/P18</f>
        <v>0.16347061859470619</v>
      </c>
      <c r="U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2:39" ht="12.75">
      <c r="B19" s="50"/>
      <c r="C19" s="13">
        <v>0.3</v>
      </c>
      <c r="D19" s="8">
        <v>4108</v>
      </c>
      <c r="G19" s="28">
        <f t="shared" si="0"/>
        <v>0.32382940603700106</v>
      </c>
      <c r="K19" s="28">
        <f t="shared" si="1"/>
        <v>2.6999999999999997</v>
      </c>
      <c r="L19" s="29">
        <f t="shared" si="2"/>
        <v>0.11993681705074115</v>
      </c>
      <c r="M19" s="5"/>
      <c r="O19" s="3">
        <f t="shared" si="3"/>
        <v>0.19</v>
      </c>
      <c r="P19" s="28">
        <f t="shared" si="4"/>
        <v>1.71</v>
      </c>
      <c r="Q19" s="29">
        <f t="shared" si="5"/>
        <v>0.18937392165906494</v>
      </c>
      <c r="U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2:39" ht="12.75">
      <c r="B20" s="50"/>
      <c r="C20" s="13">
        <v>0.3</v>
      </c>
      <c r="D20" s="8">
        <v>4102</v>
      </c>
      <c r="G20" s="28">
        <f t="shared" si="0"/>
        <v>0.324303071672355</v>
      </c>
      <c r="K20" s="28">
        <f t="shared" si="1"/>
        <v>2.6999999999999997</v>
      </c>
      <c r="L20" s="29">
        <f t="shared" si="2"/>
        <v>0.1201122487675389</v>
      </c>
      <c r="M20" s="5"/>
      <c r="O20" s="3">
        <f t="shared" si="3"/>
        <v>0.19</v>
      </c>
      <c r="P20" s="28">
        <f t="shared" si="4"/>
        <v>1.71</v>
      </c>
      <c r="Q20" s="29">
        <f t="shared" si="5"/>
        <v>0.18965091910664036</v>
      </c>
      <c r="U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2:39" ht="13.5" thickBot="1">
      <c r="B21" s="50"/>
      <c r="C21" s="13">
        <v>0.31</v>
      </c>
      <c r="D21" s="8">
        <v>4109</v>
      </c>
      <c r="G21" s="28">
        <f t="shared" si="0"/>
        <v>0.32375059625212954</v>
      </c>
      <c r="K21" s="28">
        <f t="shared" si="1"/>
        <v>2.79</v>
      </c>
      <c r="L21" s="29">
        <f t="shared" si="2"/>
        <v>0.11603964023373818</v>
      </c>
      <c r="M21" s="5"/>
      <c r="N21" s="29"/>
      <c r="O21" s="3">
        <f t="shared" si="3"/>
        <v>0.2</v>
      </c>
      <c r="P21" s="28">
        <f t="shared" si="4"/>
        <v>1.8</v>
      </c>
      <c r="Q21" s="29">
        <f t="shared" si="5"/>
        <v>0.17986144236229418</v>
      </c>
      <c r="R21" s="29"/>
      <c r="U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2:17" s="33" customFormat="1" ht="13.5" thickBot="1">
      <c r="B22" s="30" t="s">
        <v>4</v>
      </c>
      <c r="C22" s="31">
        <f>SUM(C17:C21)/5</f>
        <v>0.31</v>
      </c>
      <c r="D22" s="32">
        <f>SUM(D17:D21)/5</f>
        <v>4110</v>
      </c>
      <c r="G22" s="34">
        <f t="shared" si="0"/>
        <v>0.32367182481751827</v>
      </c>
      <c r="K22" s="34">
        <f t="shared" si="1"/>
        <v>2.79</v>
      </c>
      <c r="L22" s="35">
        <f t="shared" si="2"/>
        <v>0.1160114067446302</v>
      </c>
      <c r="M22" s="36"/>
      <c r="O22" s="37">
        <f t="shared" si="3"/>
        <v>0.2</v>
      </c>
      <c r="P22" s="34">
        <f t="shared" si="4"/>
        <v>1.8</v>
      </c>
      <c r="Q22" s="35">
        <f t="shared" si="5"/>
        <v>0.17981768045417681</v>
      </c>
    </row>
    <row r="23" spans="7:17" ht="13.5" thickBot="1">
      <c r="G23" s="28"/>
      <c r="K23" s="28"/>
      <c r="L23" s="29"/>
      <c r="O23" s="3"/>
      <c r="P23" s="28"/>
      <c r="Q23" s="29"/>
    </row>
    <row r="24" spans="3:17" ht="13.5" thickBot="1">
      <c r="C24" s="10" t="s">
        <v>2</v>
      </c>
      <c r="D24" s="11" t="s">
        <v>3</v>
      </c>
      <c r="G24" s="28"/>
      <c r="K24" s="28"/>
      <c r="L24" s="29"/>
      <c r="O24" s="3"/>
      <c r="P24" s="28"/>
      <c r="Q24" s="29"/>
    </row>
    <row r="25" spans="2:17" ht="12.75">
      <c r="B25" s="46">
        <v>0.9</v>
      </c>
      <c r="C25" s="14">
        <v>0.28</v>
      </c>
      <c r="D25" s="6">
        <v>4521</v>
      </c>
      <c r="G25" s="28">
        <f aca="true" t="shared" si="6" ref="G25:G30">G$12/(D25/1000)</f>
        <v>0.29424711347047117</v>
      </c>
      <c r="K25" s="28">
        <f aca="true" t="shared" si="7" ref="K25:K30">C25*G$6</f>
        <v>2.5200000000000005</v>
      </c>
      <c r="L25" s="29">
        <f aca="true" t="shared" si="8" ref="L25:L30">G25/K25</f>
        <v>0.11676472756764726</v>
      </c>
      <c r="O25" s="3">
        <f aca="true" t="shared" si="9" ref="O25:O30">C25-G$7</f>
        <v>0.17000000000000004</v>
      </c>
      <c r="P25" s="28">
        <f aca="true" t="shared" si="10" ref="P25:P30">O25*G$6</f>
        <v>1.5300000000000002</v>
      </c>
      <c r="Q25" s="29">
        <f t="shared" si="5"/>
        <v>0.19231837481730138</v>
      </c>
    </row>
    <row r="26" spans="2:17" ht="12.75">
      <c r="B26" s="47"/>
      <c r="C26" s="7">
        <v>0.3</v>
      </c>
      <c r="D26" s="8">
        <v>4483</v>
      </c>
      <c r="G26" s="28">
        <f t="shared" si="6"/>
        <v>0.2967412893151908</v>
      </c>
      <c r="K26" s="28">
        <f t="shared" si="7"/>
        <v>2.6999999999999997</v>
      </c>
      <c r="L26" s="29">
        <f t="shared" si="8"/>
        <v>0.10990418122784845</v>
      </c>
      <c r="O26" s="3">
        <f t="shared" si="9"/>
        <v>0.19</v>
      </c>
      <c r="P26" s="28">
        <f t="shared" si="10"/>
        <v>1.71</v>
      </c>
      <c r="Q26" s="29">
        <f t="shared" si="5"/>
        <v>0.17353291772818175</v>
      </c>
    </row>
    <row r="27" spans="2:17" ht="12.75">
      <c r="B27" s="47"/>
      <c r="C27" s="15">
        <v>0.31</v>
      </c>
      <c r="D27" s="8">
        <v>4478</v>
      </c>
      <c r="G27" s="28">
        <f t="shared" si="6"/>
        <v>0.29707262170611887</v>
      </c>
      <c r="K27" s="28">
        <f t="shared" si="7"/>
        <v>2.79</v>
      </c>
      <c r="L27" s="29">
        <f t="shared" si="8"/>
        <v>0.10647764218857307</v>
      </c>
      <c r="O27" s="3">
        <f t="shared" si="9"/>
        <v>0.2</v>
      </c>
      <c r="P27" s="28">
        <f t="shared" si="10"/>
        <v>1.8</v>
      </c>
      <c r="Q27" s="29">
        <f t="shared" si="5"/>
        <v>0.16504034539228826</v>
      </c>
    </row>
    <row r="28" spans="2:17" ht="12.75">
      <c r="B28" s="47"/>
      <c r="C28" s="15">
        <v>0.27</v>
      </c>
      <c r="D28" s="8">
        <v>4434</v>
      </c>
      <c r="G28" s="28">
        <f t="shared" si="6"/>
        <v>0.30002056833558866</v>
      </c>
      <c r="K28" s="28">
        <f t="shared" si="7"/>
        <v>2.43</v>
      </c>
      <c r="L28" s="29">
        <f t="shared" si="8"/>
        <v>0.12346525445908997</v>
      </c>
      <c r="O28" s="3">
        <f t="shared" si="9"/>
        <v>0.16000000000000003</v>
      </c>
      <c r="P28" s="28">
        <f t="shared" si="10"/>
        <v>1.4400000000000004</v>
      </c>
      <c r="Q28" s="29">
        <f t="shared" si="5"/>
        <v>0.2083476168997143</v>
      </c>
    </row>
    <row r="29" spans="2:17" ht="13.5" thickBot="1">
      <c r="B29" s="48"/>
      <c r="C29" s="16">
        <v>0.27</v>
      </c>
      <c r="D29" s="9">
        <v>4450</v>
      </c>
      <c r="G29" s="28">
        <f t="shared" si="6"/>
        <v>0.29894184269662927</v>
      </c>
      <c r="K29" s="28">
        <f t="shared" si="7"/>
        <v>2.43</v>
      </c>
      <c r="L29" s="29">
        <f t="shared" si="8"/>
        <v>0.12302133444305731</v>
      </c>
      <c r="O29" s="3">
        <f t="shared" si="9"/>
        <v>0.16000000000000003</v>
      </c>
      <c r="P29" s="28">
        <f t="shared" si="10"/>
        <v>1.4400000000000004</v>
      </c>
      <c r="Q29" s="29">
        <f t="shared" si="5"/>
        <v>0.20759850187265916</v>
      </c>
    </row>
    <row r="30" spans="2:17" s="33" customFormat="1" ht="13.5" thickBot="1">
      <c r="B30" s="38" t="s">
        <v>4</v>
      </c>
      <c r="C30" s="39">
        <f>SUM(C25:C29)/5</f>
        <v>0.28600000000000003</v>
      </c>
      <c r="D30" s="40">
        <f>SUM(D25:D29)/5</f>
        <v>4473.2</v>
      </c>
      <c r="G30" s="34">
        <f t="shared" si="6"/>
        <v>0.2973913976571583</v>
      </c>
      <c r="K30" s="34">
        <f t="shared" si="7"/>
        <v>2.5740000000000003</v>
      </c>
      <c r="L30" s="35">
        <f t="shared" si="8"/>
        <v>0.1155366735264795</v>
      </c>
      <c r="O30" s="37">
        <f t="shared" si="9"/>
        <v>0.17600000000000005</v>
      </c>
      <c r="P30" s="34">
        <f t="shared" si="10"/>
        <v>1.5840000000000005</v>
      </c>
      <c r="Q30" s="35">
        <f t="shared" si="5"/>
        <v>0.18774709448052915</v>
      </c>
    </row>
    <row r="31" spans="7:17" ht="13.5" thickBot="1">
      <c r="G31" s="28"/>
      <c r="K31" s="28"/>
      <c r="L31" s="29"/>
      <c r="O31" s="3"/>
      <c r="P31" s="28"/>
      <c r="Q31" s="29"/>
    </row>
    <row r="32" spans="3:17" ht="13.5" thickBot="1">
      <c r="C32" s="10" t="s">
        <v>2</v>
      </c>
      <c r="D32" s="11" t="s">
        <v>3</v>
      </c>
      <c r="G32" s="28"/>
      <c r="K32" s="28"/>
      <c r="L32" s="29"/>
      <c r="O32" s="3"/>
      <c r="P32" s="28"/>
      <c r="Q32" s="29"/>
    </row>
    <row r="33" spans="2:17" ht="12.75">
      <c r="B33" s="46">
        <v>0.8</v>
      </c>
      <c r="C33" s="17">
        <v>0.29</v>
      </c>
      <c r="D33" s="18">
        <v>4182</v>
      </c>
      <c r="G33" s="28">
        <f aca="true" t="shared" si="11" ref="G33:G38">G$12/(D33/1000)</f>
        <v>0.31809928263988524</v>
      </c>
      <c r="K33" s="28">
        <f aca="true" t="shared" si="12" ref="K33:K38">C33*G$6</f>
        <v>2.61</v>
      </c>
      <c r="L33" s="29">
        <f aca="true" t="shared" si="13" ref="L33:L38">G33/K33</f>
        <v>0.12187711978539664</v>
      </c>
      <c r="O33" s="3">
        <f aca="true" t="shared" si="14" ref="O33:O38">C33-G$7</f>
        <v>0.18</v>
      </c>
      <c r="P33" s="28">
        <f aca="true" t="shared" si="15" ref="P33:P38">O33*G$6</f>
        <v>1.6199999999999999</v>
      </c>
      <c r="Q33" s="29">
        <f t="shared" si="5"/>
        <v>0.19635758187647237</v>
      </c>
    </row>
    <row r="34" spans="2:17" ht="12.75">
      <c r="B34" s="47"/>
      <c r="C34" s="19">
        <v>0.27</v>
      </c>
      <c r="D34" s="20">
        <v>4183</v>
      </c>
      <c r="G34" s="28">
        <f t="shared" si="11"/>
        <v>0.31802323691130774</v>
      </c>
      <c r="K34" s="28">
        <f t="shared" si="12"/>
        <v>2.43</v>
      </c>
      <c r="L34" s="29">
        <f t="shared" si="13"/>
        <v>0.13087376004580564</v>
      </c>
      <c r="O34" s="3">
        <f t="shared" si="14"/>
        <v>0.16000000000000003</v>
      </c>
      <c r="P34" s="28">
        <f t="shared" si="15"/>
        <v>1.4400000000000004</v>
      </c>
      <c r="Q34" s="29">
        <f t="shared" si="5"/>
        <v>0.220849470077297</v>
      </c>
    </row>
    <row r="35" spans="2:17" ht="12.75">
      <c r="B35" s="47"/>
      <c r="C35" s="19">
        <v>0.26</v>
      </c>
      <c r="D35" s="20">
        <v>4173</v>
      </c>
      <c r="G35" s="28">
        <f t="shared" si="11"/>
        <v>0.3187853342918764</v>
      </c>
      <c r="K35" s="28">
        <f t="shared" si="12"/>
        <v>2.34</v>
      </c>
      <c r="L35" s="29">
        <f t="shared" si="13"/>
        <v>0.13623304884268223</v>
      </c>
      <c r="O35" s="3">
        <f t="shared" si="14"/>
        <v>0.15000000000000002</v>
      </c>
      <c r="P35" s="28">
        <f t="shared" si="15"/>
        <v>1.35</v>
      </c>
      <c r="Q35" s="29">
        <f t="shared" si="5"/>
        <v>0.23613728466064915</v>
      </c>
    </row>
    <row r="36" spans="2:17" ht="12.75">
      <c r="B36" s="47"/>
      <c r="C36" s="19">
        <v>0.28</v>
      </c>
      <c r="D36" s="20">
        <v>4214</v>
      </c>
      <c r="G36" s="28">
        <f t="shared" si="11"/>
        <v>0.31568372093023256</v>
      </c>
      <c r="K36" s="28">
        <f t="shared" si="12"/>
        <v>2.5200000000000005</v>
      </c>
      <c r="L36" s="29">
        <f t="shared" si="13"/>
        <v>0.12527131782945733</v>
      </c>
      <c r="O36" s="3">
        <f t="shared" si="14"/>
        <v>0.17000000000000004</v>
      </c>
      <c r="P36" s="28">
        <f t="shared" si="15"/>
        <v>1.5300000000000002</v>
      </c>
      <c r="Q36" s="29">
        <f t="shared" si="5"/>
        <v>0.20632922936616505</v>
      </c>
    </row>
    <row r="37" spans="2:17" ht="13.5" thickBot="1">
      <c r="B37" s="48"/>
      <c r="C37" s="22">
        <v>0.3</v>
      </c>
      <c r="D37" s="21">
        <v>4191</v>
      </c>
      <c r="G37" s="28">
        <f t="shared" si="11"/>
        <v>0.31741617752326423</v>
      </c>
      <c r="K37" s="28">
        <f t="shared" si="12"/>
        <v>2.6999999999999997</v>
      </c>
      <c r="L37" s="29">
        <f t="shared" si="13"/>
        <v>0.11756154723083861</v>
      </c>
      <c r="O37" s="3">
        <f t="shared" si="14"/>
        <v>0.19</v>
      </c>
      <c r="P37" s="28">
        <f t="shared" si="15"/>
        <v>1.71</v>
      </c>
      <c r="Q37" s="29">
        <f t="shared" si="5"/>
        <v>0.1856234956276399</v>
      </c>
    </row>
    <row r="38" spans="2:17" s="33" customFormat="1" ht="13.5" thickBot="1">
      <c r="B38" s="38" t="s">
        <v>4</v>
      </c>
      <c r="C38" s="39">
        <f>SUM(C33:C37)/5</f>
        <v>0.28</v>
      </c>
      <c r="D38" s="40">
        <f>SUM(D33:D37)/5</f>
        <v>4188.6</v>
      </c>
      <c r="G38" s="34">
        <f t="shared" si="11"/>
        <v>0.31759805185503515</v>
      </c>
      <c r="K38" s="34">
        <f t="shared" si="12"/>
        <v>2.5200000000000005</v>
      </c>
      <c r="L38" s="35">
        <f t="shared" si="13"/>
        <v>0.12603097295834725</v>
      </c>
      <c r="O38" s="37">
        <f t="shared" si="14"/>
        <v>0.17000000000000004</v>
      </c>
      <c r="P38" s="34">
        <f t="shared" si="15"/>
        <v>1.5300000000000002</v>
      </c>
      <c r="Q38" s="35">
        <f t="shared" si="5"/>
        <v>0.20758042604904253</v>
      </c>
    </row>
    <row r="39" spans="7:17" ht="13.5" thickBot="1">
      <c r="G39" s="28"/>
      <c r="K39" s="28"/>
      <c r="L39" s="29"/>
      <c r="O39" s="3"/>
      <c r="P39" s="28"/>
      <c r="Q39" s="29"/>
    </row>
    <row r="40" spans="3:17" ht="13.5" thickBot="1">
      <c r="C40" s="10" t="s">
        <v>2</v>
      </c>
      <c r="D40" s="11" t="s">
        <v>3</v>
      </c>
      <c r="G40" s="28"/>
      <c r="K40" s="28"/>
      <c r="L40" s="29"/>
      <c r="O40" s="3"/>
      <c r="P40" s="28"/>
      <c r="Q40" s="29"/>
    </row>
    <row r="41" spans="2:17" ht="12.75">
      <c r="B41" s="46">
        <v>0.7</v>
      </c>
      <c r="C41" s="24">
        <v>0.25</v>
      </c>
      <c r="D41" s="6">
        <v>4061</v>
      </c>
      <c r="G41" s="28">
        <f aca="true" t="shared" si="16" ref="G41:G46">G$12/(D41/1000)</f>
        <v>0.32757724698350166</v>
      </c>
      <c r="K41" s="28">
        <f aca="true" t="shared" si="17" ref="K41:K46">C41*G$6</f>
        <v>2.25</v>
      </c>
      <c r="L41" s="29">
        <f aca="true" t="shared" si="18" ref="L41:L46">G41/K41</f>
        <v>0.14558988754822297</v>
      </c>
      <c r="O41" s="3">
        <f aca="true" t="shared" si="19" ref="O41:O46">C41-G$7</f>
        <v>0.14</v>
      </c>
      <c r="P41" s="28">
        <f aca="true" t="shared" si="20" ref="P41:P46">O41*G$6</f>
        <v>1.2600000000000002</v>
      </c>
      <c r="Q41" s="29">
        <f t="shared" si="5"/>
        <v>0.2599819420503981</v>
      </c>
    </row>
    <row r="42" spans="2:17" ht="12.75">
      <c r="B42" s="47"/>
      <c r="C42" s="25">
        <v>0.27</v>
      </c>
      <c r="D42" s="8">
        <v>4057</v>
      </c>
      <c r="G42" s="28">
        <f t="shared" si="16"/>
        <v>0.3279002218387972</v>
      </c>
      <c r="K42" s="28">
        <f t="shared" si="17"/>
        <v>2.43</v>
      </c>
      <c r="L42" s="29">
        <f t="shared" si="18"/>
        <v>0.13493836289662434</v>
      </c>
      <c r="O42" s="3">
        <f t="shared" si="19"/>
        <v>0.16000000000000003</v>
      </c>
      <c r="P42" s="28">
        <f t="shared" si="20"/>
        <v>1.4400000000000004</v>
      </c>
      <c r="Q42" s="29">
        <f t="shared" si="5"/>
        <v>0.22770848738805355</v>
      </c>
    </row>
    <row r="43" spans="2:17" ht="12.75">
      <c r="B43" s="47"/>
      <c r="C43" s="25">
        <v>0.28</v>
      </c>
      <c r="D43" s="8">
        <v>4012</v>
      </c>
      <c r="G43" s="28">
        <f t="shared" si="16"/>
        <v>0.3315780658025923</v>
      </c>
      <c r="K43" s="28">
        <f t="shared" si="17"/>
        <v>2.5200000000000005</v>
      </c>
      <c r="L43" s="29">
        <f t="shared" si="18"/>
        <v>0.13157859754071122</v>
      </c>
      <c r="O43" s="3">
        <f t="shared" si="19"/>
        <v>0.17000000000000004</v>
      </c>
      <c r="P43" s="28">
        <f t="shared" si="20"/>
        <v>1.5300000000000002</v>
      </c>
      <c r="Q43" s="29">
        <f t="shared" si="5"/>
        <v>0.21671769006705377</v>
      </c>
    </row>
    <row r="44" spans="2:17" ht="12.75">
      <c r="B44" s="47"/>
      <c r="C44" s="25">
        <v>0.27</v>
      </c>
      <c r="D44" s="8">
        <v>4015</v>
      </c>
      <c r="G44" s="28">
        <f t="shared" si="16"/>
        <v>0.3313303113325032</v>
      </c>
      <c r="K44" s="28">
        <f t="shared" si="17"/>
        <v>2.43</v>
      </c>
      <c r="L44" s="29">
        <f t="shared" si="18"/>
        <v>0.1363499223590548</v>
      </c>
      <c r="O44" s="3">
        <f t="shared" si="19"/>
        <v>0.16000000000000003</v>
      </c>
      <c r="P44" s="28">
        <f t="shared" si="20"/>
        <v>1.4400000000000004</v>
      </c>
      <c r="Q44" s="29">
        <f t="shared" si="5"/>
        <v>0.23009049398090492</v>
      </c>
    </row>
    <row r="45" spans="2:17" ht="13.5" thickBot="1">
      <c r="B45" s="48"/>
      <c r="C45" s="26">
        <v>0.27</v>
      </c>
      <c r="D45" s="9">
        <v>4016</v>
      </c>
      <c r="G45" s="28">
        <f t="shared" si="16"/>
        <v>0.3312478087649403</v>
      </c>
      <c r="K45" s="28">
        <f t="shared" si="17"/>
        <v>2.43</v>
      </c>
      <c r="L45" s="29">
        <f t="shared" si="18"/>
        <v>0.1363159706851606</v>
      </c>
      <c r="O45" s="3">
        <f t="shared" si="19"/>
        <v>0.16000000000000003</v>
      </c>
      <c r="P45" s="28">
        <f t="shared" si="20"/>
        <v>1.4400000000000004</v>
      </c>
      <c r="Q45" s="29">
        <f t="shared" si="5"/>
        <v>0.2300332005312085</v>
      </c>
    </row>
    <row r="46" spans="2:17" s="33" customFormat="1" ht="13.5" thickBot="1">
      <c r="B46" s="38" t="s">
        <v>4</v>
      </c>
      <c r="C46" s="39">
        <f>SUM(C41:C45)/5</f>
        <v>0.268</v>
      </c>
      <c r="D46" s="40">
        <f>SUM(D41:D45)/5</f>
        <v>4032.2</v>
      </c>
      <c r="G46" s="34">
        <f t="shared" si="16"/>
        <v>0.3299169684043451</v>
      </c>
      <c r="K46" s="34">
        <f t="shared" si="17"/>
        <v>2.412</v>
      </c>
      <c r="L46" s="35">
        <f t="shared" si="18"/>
        <v>0.13678149602170195</v>
      </c>
      <c r="O46" s="37">
        <f t="shared" si="19"/>
        <v>0.15800000000000003</v>
      </c>
      <c r="P46" s="34">
        <f t="shared" si="20"/>
        <v>1.4220000000000002</v>
      </c>
      <c r="Q46" s="35">
        <f t="shared" si="5"/>
        <v>0.23200911983427921</v>
      </c>
    </row>
    <row r="47" spans="7:17" ht="13.5" thickBot="1">
      <c r="G47" s="28"/>
      <c r="K47" s="28"/>
      <c r="L47" s="29"/>
      <c r="O47" s="3"/>
      <c r="P47" s="28"/>
      <c r="Q47" s="29"/>
    </row>
    <row r="48" spans="3:17" ht="13.5" thickBot="1">
      <c r="C48" s="10" t="s">
        <v>2</v>
      </c>
      <c r="D48" s="11" t="s">
        <v>3</v>
      </c>
      <c r="G48" s="28"/>
      <c r="K48" s="28"/>
      <c r="L48" s="29"/>
      <c r="O48" s="3"/>
      <c r="P48" s="28"/>
      <c r="Q48" s="29"/>
    </row>
    <row r="49" spans="2:17" ht="12.75">
      <c r="B49" s="46">
        <v>0.6</v>
      </c>
      <c r="C49" s="24">
        <v>0.24</v>
      </c>
      <c r="D49" s="6">
        <v>4558</v>
      </c>
      <c r="G49" s="28">
        <f aca="true" t="shared" si="21" ref="G49:G54">G$12/(D49/1000)</f>
        <v>0.29185853444493204</v>
      </c>
      <c r="K49" s="28">
        <f aca="true" t="shared" si="22" ref="K49:K54">C49*G$6</f>
        <v>2.16</v>
      </c>
      <c r="L49" s="29">
        <f aca="true" t="shared" si="23" ref="L49:L54">G49/K49</f>
        <v>0.1351196918726537</v>
      </c>
      <c r="O49" s="3">
        <f aca="true" t="shared" si="24" ref="O49:O54">C49-G$7</f>
        <v>0.13</v>
      </c>
      <c r="P49" s="28">
        <f aca="true" t="shared" si="25" ref="P49:P54">O49*G$6</f>
        <v>1.17</v>
      </c>
      <c r="Q49" s="29">
        <f t="shared" si="5"/>
        <v>0.24945173884182226</v>
      </c>
    </row>
    <row r="50" spans="2:17" ht="12.75">
      <c r="B50" s="47"/>
      <c r="C50" s="25">
        <v>0.26</v>
      </c>
      <c r="D50" s="8">
        <v>4559</v>
      </c>
      <c r="G50" s="28">
        <f t="shared" si="21"/>
        <v>0.29179451634130293</v>
      </c>
      <c r="K50" s="28">
        <f t="shared" si="22"/>
        <v>2.34</v>
      </c>
      <c r="L50" s="29">
        <f t="shared" si="23"/>
        <v>0.12469851125696707</v>
      </c>
      <c r="O50" s="3">
        <f t="shared" si="24"/>
        <v>0.15000000000000002</v>
      </c>
      <c r="P50" s="28">
        <f t="shared" si="25"/>
        <v>1.35</v>
      </c>
      <c r="Q50" s="29">
        <f t="shared" si="5"/>
        <v>0.2161440861787429</v>
      </c>
    </row>
    <row r="51" spans="2:17" ht="12.75">
      <c r="B51" s="47"/>
      <c r="C51" s="25">
        <v>0.27</v>
      </c>
      <c r="D51" s="8">
        <v>4553</v>
      </c>
      <c r="G51" s="28">
        <f t="shared" si="21"/>
        <v>0.29217904678234136</v>
      </c>
      <c r="K51" s="28">
        <f t="shared" si="22"/>
        <v>2.43</v>
      </c>
      <c r="L51" s="29">
        <f t="shared" si="23"/>
        <v>0.1202382908569306</v>
      </c>
      <c r="O51" s="3">
        <f t="shared" si="24"/>
        <v>0.16000000000000003</v>
      </c>
      <c r="P51" s="28">
        <f t="shared" si="25"/>
        <v>1.4400000000000004</v>
      </c>
      <c r="Q51" s="29">
        <f t="shared" si="5"/>
        <v>0.20290211582107034</v>
      </c>
    </row>
    <row r="52" spans="2:21" ht="12.75">
      <c r="B52" s="47"/>
      <c r="C52" s="25">
        <v>0.25</v>
      </c>
      <c r="D52" s="8">
        <v>4556</v>
      </c>
      <c r="G52" s="28">
        <f t="shared" si="21"/>
        <v>0.2919866549604917</v>
      </c>
      <c r="K52" s="28">
        <f t="shared" si="22"/>
        <v>2.25</v>
      </c>
      <c r="L52" s="29">
        <f t="shared" si="23"/>
        <v>0.12977184664910743</v>
      </c>
      <c r="O52" s="3">
        <f t="shared" si="24"/>
        <v>0.14</v>
      </c>
      <c r="P52" s="28">
        <f t="shared" si="25"/>
        <v>1.2600000000000002</v>
      </c>
      <c r="Q52" s="29">
        <f t="shared" si="5"/>
        <v>0.23173544044483463</v>
      </c>
      <c r="U52" s="1"/>
    </row>
    <row r="53" spans="2:17" ht="13.5" thickBot="1">
      <c r="B53" s="48"/>
      <c r="C53" s="26">
        <v>0.26</v>
      </c>
      <c r="D53" s="9">
        <v>4555</v>
      </c>
      <c r="G53" s="28">
        <f t="shared" si="21"/>
        <v>0.29205075740944025</v>
      </c>
      <c r="K53" s="28">
        <f t="shared" si="22"/>
        <v>2.34</v>
      </c>
      <c r="L53" s="29">
        <f t="shared" si="23"/>
        <v>0.12480801598694029</v>
      </c>
      <c r="O53" s="3">
        <f t="shared" si="24"/>
        <v>0.15000000000000002</v>
      </c>
      <c r="P53" s="28">
        <f t="shared" si="25"/>
        <v>1.35</v>
      </c>
      <c r="Q53" s="29">
        <f t="shared" si="5"/>
        <v>0.21633389437736314</v>
      </c>
    </row>
    <row r="54" spans="2:17" s="33" customFormat="1" ht="13.5" thickBot="1">
      <c r="B54" s="38" t="s">
        <v>4</v>
      </c>
      <c r="C54" s="39">
        <f>SUM(C49:C53)/5</f>
        <v>0.256</v>
      </c>
      <c r="D54" s="40">
        <f>SUM(D49:D53)/5</f>
        <v>4556.2</v>
      </c>
      <c r="G54" s="34">
        <f t="shared" si="21"/>
        <v>0.291973837847329</v>
      </c>
      <c r="K54" s="34">
        <f t="shared" si="22"/>
        <v>2.3040000000000003</v>
      </c>
      <c r="L54" s="35">
        <f t="shared" si="23"/>
        <v>0.12672475601012542</v>
      </c>
      <c r="O54" s="37">
        <f t="shared" si="24"/>
        <v>0.14600000000000002</v>
      </c>
      <c r="P54" s="34">
        <f t="shared" si="25"/>
        <v>1.314</v>
      </c>
      <c r="Q54" s="35">
        <f t="shared" si="5"/>
        <v>0.22220231190816514</v>
      </c>
    </row>
    <row r="55" spans="7:17" ht="13.5" thickBot="1">
      <c r="G55" s="28"/>
      <c r="K55" s="28"/>
      <c r="L55" s="29"/>
      <c r="O55" s="3"/>
      <c r="P55" s="28"/>
      <c r="Q55" s="29"/>
    </row>
    <row r="56" spans="3:17" ht="13.5" thickBot="1">
      <c r="C56" s="10" t="s">
        <v>2</v>
      </c>
      <c r="D56" s="11" t="s">
        <v>3</v>
      </c>
      <c r="G56" s="28"/>
      <c r="K56" s="28"/>
      <c r="L56" s="29"/>
      <c r="O56" s="3"/>
      <c r="P56" s="28"/>
      <c r="Q56" s="29"/>
    </row>
    <row r="57" spans="2:17" ht="12.75">
      <c r="B57" s="46">
        <v>0.5</v>
      </c>
      <c r="C57" s="24">
        <v>0.25</v>
      </c>
      <c r="D57" s="6">
        <v>5227</v>
      </c>
      <c r="G57" s="28">
        <f aca="true" t="shared" si="26" ref="G57:G62">G$12/(D57/1000)</f>
        <v>0.25450376889229004</v>
      </c>
      <c r="K57" s="28">
        <f aca="true" t="shared" si="27" ref="K57:K62">C57*G$6</f>
        <v>2.25</v>
      </c>
      <c r="L57" s="29">
        <f aca="true" t="shared" si="28" ref="L57:L62">G57/K57</f>
        <v>0.11311278617435112</v>
      </c>
      <c r="O57" s="3">
        <f aca="true" t="shared" si="29" ref="O57:O62">C57-G$7</f>
        <v>0.14</v>
      </c>
      <c r="P57" s="28">
        <f aca="true" t="shared" si="30" ref="P57:P62">O57*G$6</f>
        <v>1.2600000000000002</v>
      </c>
      <c r="Q57" s="29">
        <f t="shared" si="5"/>
        <v>0.2019871181684841</v>
      </c>
    </row>
    <row r="58" spans="2:17" ht="12.75">
      <c r="B58" s="47"/>
      <c r="C58" s="25">
        <v>0.24</v>
      </c>
      <c r="D58" s="8">
        <v>5221</v>
      </c>
      <c r="G58" s="28">
        <f t="shared" si="26"/>
        <v>0.2547962459298985</v>
      </c>
      <c r="K58" s="28">
        <f t="shared" si="27"/>
        <v>2.16</v>
      </c>
      <c r="L58" s="29">
        <f t="shared" si="28"/>
        <v>0.1179612249675456</v>
      </c>
      <c r="O58" s="3">
        <f t="shared" si="29"/>
        <v>0.13</v>
      </c>
      <c r="P58" s="28">
        <f t="shared" si="30"/>
        <v>1.17</v>
      </c>
      <c r="Q58" s="29">
        <f t="shared" si="5"/>
        <v>0.21777456917085344</v>
      </c>
    </row>
    <row r="59" spans="2:17" ht="12.75">
      <c r="B59" s="47"/>
      <c r="C59" s="25">
        <v>0.25</v>
      </c>
      <c r="D59" s="8">
        <v>5213</v>
      </c>
      <c r="G59" s="28">
        <f t="shared" si="26"/>
        <v>0.2551872626126991</v>
      </c>
      <c r="K59" s="28">
        <f t="shared" si="27"/>
        <v>2.25</v>
      </c>
      <c r="L59" s="29">
        <f t="shared" si="28"/>
        <v>0.1134165611611996</v>
      </c>
      <c r="O59" s="3">
        <f t="shared" si="29"/>
        <v>0.14</v>
      </c>
      <c r="P59" s="28">
        <f t="shared" si="30"/>
        <v>1.2600000000000002</v>
      </c>
      <c r="Q59" s="29">
        <f t="shared" si="5"/>
        <v>0.2025295735021421</v>
      </c>
    </row>
    <row r="60" spans="2:17" ht="12.75">
      <c r="B60" s="47"/>
      <c r="C60" s="25">
        <v>0.24</v>
      </c>
      <c r="D60" s="8">
        <v>5214</v>
      </c>
      <c r="G60" s="28">
        <f t="shared" si="26"/>
        <v>0.25513831990794017</v>
      </c>
      <c r="K60" s="28">
        <f t="shared" si="27"/>
        <v>2.16</v>
      </c>
      <c r="L60" s="29">
        <f t="shared" si="28"/>
        <v>0.1181195925499723</v>
      </c>
      <c r="O60" s="3">
        <f t="shared" si="29"/>
        <v>0.13</v>
      </c>
      <c r="P60" s="28">
        <f t="shared" si="30"/>
        <v>1.17</v>
      </c>
      <c r="Q60" s="29">
        <f t="shared" si="5"/>
        <v>0.21806694009225658</v>
      </c>
    </row>
    <row r="61" spans="2:17" ht="13.5" thickBot="1">
      <c r="B61" s="48"/>
      <c r="C61" s="26">
        <v>0.24</v>
      </c>
      <c r="D61" s="9">
        <v>5224</v>
      </c>
      <c r="G61" s="28">
        <f t="shared" si="26"/>
        <v>0.2546499234303216</v>
      </c>
      <c r="K61" s="28">
        <f t="shared" si="27"/>
        <v>2.16</v>
      </c>
      <c r="L61" s="29">
        <f t="shared" si="28"/>
        <v>0.11789348306959332</v>
      </c>
      <c r="O61" s="3">
        <f t="shared" si="29"/>
        <v>0.13</v>
      </c>
      <c r="P61" s="28">
        <f t="shared" si="30"/>
        <v>1.17</v>
      </c>
      <c r="Q61" s="29">
        <f t="shared" si="5"/>
        <v>0.2176495072054031</v>
      </c>
    </row>
    <row r="62" spans="2:17" s="33" customFormat="1" ht="13.5" thickBot="1">
      <c r="B62" s="38" t="s">
        <v>4</v>
      </c>
      <c r="C62" s="39">
        <f>SUM(C57:C61)/5</f>
        <v>0.244</v>
      </c>
      <c r="D62" s="40">
        <f>SUM(D57:D61)/5</f>
        <v>5219.8</v>
      </c>
      <c r="G62" s="34">
        <f t="shared" si="26"/>
        <v>0.25485482202383236</v>
      </c>
      <c r="K62" s="34">
        <f t="shared" si="27"/>
        <v>2.1959999999999997</v>
      </c>
      <c r="L62" s="35">
        <f t="shared" si="28"/>
        <v>0.11605410838972331</v>
      </c>
      <c r="O62" s="37">
        <f t="shared" si="29"/>
        <v>0.134</v>
      </c>
      <c r="P62" s="34">
        <f t="shared" si="30"/>
        <v>1.206</v>
      </c>
      <c r="Q62" s="35">
        <f t="shared" si="5"/>
        <v>0.21132240632158572</v>
      </c>
    </row>
    <row r="63" spans="7:17" ht="13.5" thickBot="1">
      <c r="G63" s="28"/>
      <c r="K63" s="28"/>
      <c r="L63" s="29"/>
      <c r="O63" s="3"/>
      <c r="P63" s="28"/>
      <c r="Q63" s="29"/>
    </row>
    <row r="64" spans="3:17" ht="13.5" thickBot="1">
      <c r="C64" s="10" t="s">
        <v>2</v>
      </c>
      <c r="D64" s="11" t="s">
        <v>3</v>
      </c>
      <c r="G64" s="28"/>
      <c r="K64" s="28"/>
      <c r="L64" s="29"/>
      <c r="O64" s="3"/>
      <c r="P64" s="28"/>
      <c r="Q64" s="29"/>
    </row>
    <row r="65" spans="2:17" ht="12.75">
      <c r="B65" s="46">
        <v>0.4</v>
      </c>
      <c r="C65" s="24">
        <v>0.24</v>
      </c>
      <c r="D65" s="6">
        <v>6136</v>
      </c>
      <c r="G65" s="28">
        <f aca="true" t="shared" si="31" ref="G65:G70">G$12/(D65/1000)</f>
        <v>0.21680104302477188</v>
      </c>
      <c r="K65" s="28">
        <f aca="true" t="shared" si="32" ref="K65:K70">C65*G$6</f>
        <v>2.16</v>
      </c>
      <c r="L65" s="29">
        <f aca="true" t="shared" si="33" ref="L65:L70">G65/K65</f>
        <v>0.1003708532522092</v>
      </c>
      <c r="O65" s="3">
        <f aca="true" t="shared" si="34" ref="O65:O70">C65-G$7</f>
        <v>0.13</v>
      </c>
      <c r="P65" s="28">
        <f aca="true" t="shared" si="35" ref="P65:P70">O65*G$6</f>
        <v>1.17</v>
      </c>
      <c r="Q65" s="29">
        <f t="shared" si="5"/>
        <v>0.1853000367733093</v>
      </c>
    </row>
    <row r="66" spans="2:17" ht="12.75">
      <c r="B66" s="47"/>
      <c r="C66" s="25">
        <v>0.24</v>
      </c>
      <c r="D66" s="8">
        <v>6122</v>
      </c>
      <c r="G66" s="28">
        <f t="shared" si="31"/>
        <v>0.21729683110094744</v>
      </c>
      <c r="K66" s="28">
        <f t="shared" si="32"/>
        <v>2.16</v>
      </c>
      <c r="L66" s="29">
        <f t="shared" si="33"/>
        <v>0.10060038476895714</v>
      </c>
      <c r="O66" s="3">
        <f t="shared" si="34"/>
        <v>0.13</v>
      </c>
      <c r="P66" s="28">
        <f t="shared" si="35"/>
        <v>1.17</v>
      </c>
      <c r="Q66" s="29">
        <f t="shared" si="5"/>
        <v>0.18572378726576705</v>
      </c>
    </row>
    <row r="67" spans="2:17" ht="12.75">
      <c r="B67" s="47"/>
      <c r="C67" s="25">
        <v>0.23</v>
      </c>
      <c r="D67" s="8">
        <v>6130</v>
      </c>
      <c r="G67" s="28">
        <f t="shared" si="31"/>
        <v>0.21701324632952695</v>
      </c>
      <c r="K67" s="28">
        <f t="shared" si="32"/>
        <v>2.0700000000000003</v>
      </c>
      <c r="L67" s="29">
        <f t="shared" si="33"/>
        <v>0.10483731706740432</v>
      </c>
      <c r="O67" s="3">
        <f t="shared" si="34"/>
        <v>0.12000000000000001</v>
      </c>
      <c r="P67" s="28">
        <f t="shared" si="35"/>
        <v>1.08</v>
      </c>
      <c r="Q67" s="29">
        <f t="shared" si="5"/>
        <v>0.20093819104585828</v>
      </c>
    </row>
    <row r="68" spans="2:17" ht="12.75">
      <c r="B68" s="47"/>
      <c r="C68" s="25">
        <v>0.25</v>
      </c>
      <c r="D68" s="8">
        <v>6127</v>
      </c>
      <c r="G68" s="28">
        <f t="shared" si="31"/>
        <v>0.21711950383548234</v>
      </c>
      <c r="K68" s="28">
        <f t="shared" si="32"/>
        <v>2.25</v>
      </c>
      <c r="L68" s="29">
        <f t="shared" si="33"/>
        <v>0.09649755726021438</v>
      </c>
      <c r="O68" s="3">
        <f t="shared" si="34"/>
        <v>0.14</v>
      </c>
      <c r="P68" s="28">
        <f t="shared" si="35"/>
        <v>1.2600000000000002</v>
      </c>
      <c r="Q68" s="29">
        <f t="shared" si="5"/>
        <v>0.17231706653609707</v>
      </c>
    </row>
    <row r="69" spans="2:17" ht="13.5" thickBot="1">
      <c r="B69" s="48"/>
      <c r="C69" s="26">
        <v>0.24</v>
      </c>
      <c r="D69" s="9">
        <v>6138</v>
      </c>
      <c r="G69" s="28">
        <f t="shared" si="31"/>
        <v>0.21673040078201372</v>
      </c>
      <c r="K69" s="28">
        <f t="shared" si="32"/>
        <v>2.16</v>
      </c>
      <c r="L69" s="29">
        <f t="shared" si="33"/>
        <v>0.10033814851019153</v>
      </c>
      <c r="O69" s="3">
        <f t="shared" si="34"/>
        <v>0.13</v>
      </c>
      <c r="P69" s="28">
        <f t="shared" si="35"/>
        <v>1.17</v>
      </c>
      <c r="Q69" s="29">
        <f t="shared" si="5"/>
        <v>0.18523965878804594</v>
      </c>
    </row>
    <row r="70" spans="2:17" s="33" customFormat="1" ht="13.5" thickBot="1">
      <c r="B70" s="38" t="s">
        <v>4</v>
      </c>
      <c r="C70" s="39">
        <f>SUM(C65:C69)/5</f>
        <v>0.24</v>
      </c>
      <c r="D70" s="40">
        <f>SUM(D65:D69)/5</f>
        <v>6130.6</v>
      </c>
      <c r="G70" s="34">
        <f t="shared" si="31"/>
        <v>0.2169920073076045</v>
      </c>
      <c r="K70" s="34">
        <f t="shared" si="32"/>
        <v>2.16</v>
      </c>
      <c r="L70" s="35">
        <f t="shared" si="33"/>
        <v>0.1004592626424095</v>
      </c>
      <c r="O70" s="37">
        <f t="shared" si="34"/>
        <v>0.13</v>
      </c>
      <c r="P70" s="34">
        <f t="shared" si="35"/>
        <v>1.17</v>
      </c>
      <c r="Q70" s="35">
        <f t="shared" si="5"/>
        <v>0.1854632541090637</v>
      </c>
    </row>
    <row r="71" spans="7:17" ht="13.5" thickBot="1">
      <c r="G71" s="28"/>
      <c r="K71" s="28"/>
      <c r="L71" s="29"/>
      <c r="O71" s="3"/>
      <c r="P71" s="28"/>
      <c r="Q71" s="29"/>
    </row>
    <row r="72" spans="3:17" ht="13.5" thickBot="1">
      <c r="C72" s="10" t="s">
        <v>2</v>
      </c>
      <c r="D72" s="11" t="s">
        <v>3</v>
      </c>
      <c r="G72" s="28"/>
      <c r="K72" s="28"/>
      <c r="L72" s="29"/>
      <c r="O72" s="3"/>
      <c r="P72" s="28"/>
      <c r="Q72" s="29"/>
    </row>
    <row r="73" spans="2:17" ht="12.75">
      <c r="B73" s="46">
        <v>0.3</v>
      </c>
      <c r="C73" s="24">
        <v>0.23</v>
      </c>
      <c r="D73" s="6">
        <v>7478</v>
      </c>
      <c r="G73" s="28">
        <f aca="true" t="shared" si="36" ref="G73:G78">G$12/(D73/1000)</f>
        <v>0.17789398234822149</v>
      </c>
      <c r="K73" s="28">
        <f aca="true" t="shared" si="37" ref="K73:K78">C73*G$6</f>
        <v>2.0700000000000003</v>
      </c>
      <c r="L73" s="29">
        <f aca="true" t="shared" si="38" ref="L73:L78">G73/K73</f>
        <v>0.08593912190735337</v>
      </c>
      <c r="O73" s="3">
        <f aca="true" t="shared" si="39" ref="O73:O78">C73-G$7</f>
        <v>0.12000000000000001</v>
      </c>
      <c r="P73" s="28">
        <f aca="true" t="shared" si="40" ref="P73:P78">O73*G$6</f>
        <v>1.08</v>
      </c>
      <c r="Q73" s="29">
        <f t="shared" si="5"/>
        <v>0.1647166503224273</v>
      </c>
    </row>
    <row r="74" spans="2:17" ht="12.75">
      <c r="B74" s="47"/>
      <c r="C74" s="25">
        <v>0.23</v>
      </c>
      <c r="D74" s="8">
        <v>7472</v>
      </c>
      <c r="G74" s="28">
        <f t="shared" si="36"/>
        <v>0.1780368308351178</v>
      </c>
      <c r="K74" s="28">
        <f t="shared" si="37"/>
        <v>2.0700000000000003</v>
      </c>
      <c r="L74" s="29">
        <f t="shared" si="38"/>
        <v>0.08600813083822115</v>
      </c>
      <c r="O74" s="3">
        <f t="shared" si="39"/>
        <v>0.12000000000000001</v>
      </c>
      <c r="P74" s="28">
        <f t="shared" si="40"/>
        <v>1.08</v>
      </c>
      <c r="Q74" s="29">
        <f t="shared" si="5"/>
        <v>0.16484891743992386</v>
      </c>
    </row>
    <row r="75" spans="2:17" ht="12.75">
      <c r="B75" s="47"/>
      <c r="C75" s="25">
        <v>0.24</v>
      </c>
      <c r="D75" s="8">
        <v>7487</v>
      </c>
      <c r="G75" s="28">
        <f t="shared" si="36"/>
        <v>0.17768013890743958</v>
      </c>
      <c r="K75" s="28">
        <f t="shared" si="37"/>
        <v>2.16</v>
      </c>
      <c r="L75" s="29">
        <f t="shared" si="38"/>
        <v>0.08225932356825906</v>
      </c>
      <c r="O75" s="3">
        <f t="shared" si="39"/>
        <v>0.13</v>
      </c>
      <c r="P75" s="28">
        <f t="shared" si="40"/>
        <v>1.17</v>
      </c>
      <c r="Q75" s="29">
        <f t="shared" si="5"/>
        <v>0.1518633665875552</v>
      </c>
    </row>
    <row r="76" spans="2:17" ht="12.75">
      <c r="B76" s="47"/>
      <c r="C76" s="25">
        <v>0.24</v>
      </c>
      <c r="D76" s="8">
        <v>7478</v>
      </c>
      <c r="G76" s="28">
        <f t="shared" si="36"/>
        <v>0.17789398234822149</v>
      </c>
      <c r="K76" s="28">
        <f t="shared" si="37"/>
        <v>2.16</v>
      </c>
      <c r="L76" s="29">
        <f t="shared" si="38"/>
        <v>0.08235832516121365</v>
      </c>
      <c r="O76" s="3">
        <f t="shared" si="39"/>
        <v>0.13</v>
      </c>
      <c r="P76" s="28">
        <f t="shared" si="40"/>
        <v>1.17</v>
      </c>
      <c r="Q76" s="29">
        <f t="shared" si="5"/>
        <v>0.15204613875916367</v>
      </c>
    </row>
    <row r="77" spans="2:17" ht="13.5" thickBot="1">
      <c r="B77" s="48"/>
      <c r="C77" s="26">
        <v>0.24</v>
      </c>
      <c r="D77" s="9">
        <v>7481</v>
      </c>
      <c r="G77" s="28">
        <f t="shared" si="36"/>
        <v>0.17782264403154663</v>
      </c>
      <c r="K77" s="28">
        <f t="shared" si="37"/>
        <v>2.16</v>
      </c>
      <c r="L77" s="29">
        <f t="shared" si="38"/>
        <v>0.08232529816275307</v>
      </c>
      <c r="O77" s="3">
        <f t="shared" si="39"/>
        <v>0.13</v>
      </c>
      <c r="P77" s="28">
        <f t="shared" si="40"/>
        <v>1.17</v>
      </c>
      <c r="Q77" s="29">
        <f t="shared" si="5"/>
        <v>0.15198516583892877</v>
      </c>
    </row>
    <row r="78" spans="2:17" s="33" customFormat="1" ht="13.5" thickBot="1">
      <c r="B78" s="38" t="s">
        <v>4</v>
      </c>
      <c r="C78" s="39">
        <f>SUM(C73:C77)/5</f>
        <v>0.236</v>
      </c>
      <c r="D78" s="40">
        <f>SUM(D73:D77)/5</f>
        <v>7479.2</v>
      </c>
      <c r="G78" s="34">
        <f t="shared" si="36"/>
        <v>0.17786544015402722</v>
      </c>
      <c r="K78" s="34">
        <f t="shared" si="37"/>
        <v>2.1239999999999997</v>
      </c>
      <c r="L78" s="35">
        <f t="shared" si="38"/>
        <v>0.08374079103296951</v>
      </c>
      <c r="O78" s="37">
        <f t="shared" si="39"/>
        <v>0.126</v>
      </c>
      <c r="P78" s="34">
        <f t="shared" si="40"/>
        <v>1.134</v>
      </c>
      <c r="Q78" s="35">
        <f t="shared" si="5"/>
        <v>0.15684783082365716</v>
      </c>
    </row>
    <row r="79" spans="7:17" ht="13.5" thickBot="1">
      <c r="G79" s="28"/>
      <c r="K79" s="28"/>
      <c r="L79" s="29"/>
      <c r="O79" s="3"/>
      <c r="P79" s="28"/>
      <c r="Q79" s="29"/>
    </row>
    <row r="80" spans="3:17" ht="13.5" thickBot="1">
      <c r="C80" s="10" t="s">
        <v>2</v>
      </c>
      <c r="D80" s="11" t="s">
        <v>3</v>
      </c>
      <c r="G80" s="28"/>
      <c r="K80" s="28"/>
      <c r="L80" s="29"/>
      <c r="O80" s="3"/>
      <c r="P80" s="28"/>
      <c r="Q80" s="29"/>
    </row>
    <row r="81" spans="2:17" ht="12.75">
      <c r="B81" s="46">
        <v>0.2</v>
      </c>
      <c r="C81" s="24">
        <v>0.22</v>
      </c>
      <c r="D81" s="6">
        <v>10929</v>
      </c>
      <c r="G81" s="28">
        <f aca="true" t="shared" si="41" ref="G81:G86">G$12/(D81/1000)</f>
        <v>0.1217212187757343</v>
      </c>
      <c r="K81" s="28">
        <f aca="true" t="shared" si="42" ref="K81:K86">C81*G$6</f>
        <v>1.98</v>
      </c>
      <c r="L81" s="29">
        <f aca="true" t="shared" si="43" ref="L81:L86">G81/K81</f>
        <v>0.06147536301804763</v>
      </c>
      <c r="O81" s="3">
        <f aca="true" t="shared" si="44" ref="O81:O86">C81-G$7</f>
        <v>0.11</v>
      </c>
      <c r="P81" s="28">
        <f aca="true" t="shared" si="45" ref="P81:P86">O81*G$6</f>
        <v>0.99</v>
      </c>
      <c r="Q81" s="29">
        <f t="shared" si="5"/>
        <v>0.12295072603609526</v>
      </c>
    </row>
    <row r="82" spans="2:17" ht="12.75">
      <c r="B82" s="47"/>
      <c r="C82" s="25">
        <v>0.22</v>
      </c>
      <c r="D82" s="8">
        <v>10934</v>
      </c>
      <c r="G82" s="28">
        <f t="shared" si="41"/>
        <v>0.12166555697823306</v>
      </c>
      <c r="K82" s="28">
        <f t="shared" si="42"/>
        <v>1.98</v>
      </c>
      <c r="L82" s="29">
        <f t="shared" si="43"/>
        <v>0.061447250999107604</v>
      </c>
      <c r="O82" s="3">
        <f t="shared" si="44"/>
        <v>0.11</v>
      </c>
      <c r="P82" s="28">
        <f t="shared" si="45"/>
        <v>0.99</v>
      </c>
      <c r="Q82" s="29">
        <f aca="true" t="shared" si="46" ref="Q82:Q94">G82/P82</f>
        <v>0.12289450199821521</v>
      </c>
    </row>
    <row r="83" spans="2:17" ht="12.75">
      <c r="B83" s="47"/>
      <c r="C83" s="25">
        <v>0.22</v>
      </c>
      <c r="D83" s="8">
        <v>10933</v>
      </c>
      <c r="G83" s="28">
        <f t="shared" si="41"/>
        <v>0.12167668526479468</v>
      </c>
      <c r="K83" s="28">
        <f t="shared" si="42"/>
        <v>1.98</v>
      </c>
      <c r="L83" s="29">
        <f t="shared" si="43"/>
        <v>0.0614528713458559</v>
      </c>
      <c r="O83" s="3">
        <f t="shared" si="44"/>
        <v>0.11</v>
      </c>
      <c r="P83" s="28">
        <f t="shared" si="45"/>
        <v>0.99</v>
      </c>
      <c r="Q83" s="29">
        <f t="shared" si="46"/>
        <v>0.1229057426917118</v>
      </c>
    </row>
    <row r="84" spans="2:17" ht="12.75">
      <c r="B84" s="47"/>
      <c r="C84" s="25">
        <v>0.23</v>
      </c>
      <c r="D84" s="8">
        <v>10927</v>
      </c>
      <c r="G84" s="28">
        <f t="shared" si="41"/>
        <v>0.12174349775784755</v>
      </c>
      <c r="K84" s="28">
        <f t="shared" si="42"/>
        <v>2.0700000000000003</v>
      </c>
      <c r="L84" s="29">
        <f t="shared" si="43"/>
        <v>0.05881328394098915</v>
      </c>
      <c r="O84" s="3">
        <f t="shared" si="44"/>
        <v>0.12000000000000001</v>
      </c>
      <c r="P84" s="28">
        <f t="shared" si="45"/>
        <v>1.08</v>
      </c>
      <c r="Q84" s="29">
        <f t="shared" si="46"/>
        <v>0.11272546088689588</v>
      </c>
    </row>
    <row r="85" spans="2:17" ht="13.5" thickBot="1">
      <c r="B85" s="48"/>
      <c r="C85" s="26">
        <v>0.23</v>
      </c>
      <c r="D85" s="9">
        <v>10931</v>
      </c>
      <c r="G85" s="28">
        <f t="shared" si="41"/>
        <v>0.12169894794620806</v>
      </c>
      <c r="K85" s="28">
        <f t="shared" si="42"/>
        <v>2.0700000000000003</v>
      </c>
      <c r="L85" s="29">
        <f t="shared" si="43"/>
        <v>0.05879176229285413</v>
      </c>
      <c r="O85" s="3">
        <f t="shared" si="44"/>
        <v>0.12000000000000001</v>
      </c>
      <c r="P85" s="28">
        <f t="shared" si="45"/>
        <v>1.08</v>
      </c>
      <c r="Q85" s="29">
        <f t="shared" si="46"/>
        <v>0.11268421106130375</v>
      </c>
    </row>
    <row r="86" spans="2:17" s="33" customFormat="1" ht="13.5" thickBot="1">
      <c r="B86" s="38" t="s">
        <v>4</v>
      </c>
      <c r="C86" s="39">
        <f>SUM(C81:C85)/5</f>
        <v>0.22400000000000003</v>
      </c>
      <c r="D86" s="40">
        <f>SUM(D81:D85)/5</f>
        <v>10930.8</v>
      </c>
      <c r="G86" s="34">
        <f t="shared" si="41"/>
        <v>0.12170117466242181</v>
      </c>
      <c r="K86" s="34">
        <f t="shared" si="42"/>
        <v>2.0160000000000005</v>
      </c>
      <c r="L86" s="35">
        <f t="shared" si="43"/>
        <v>0.06036764616191557</v>
      </c>
      <c r="O86" s="37">
        <f t="shared" si="44"/>
        <v>0.11400000000000003</v>
      </c>
      <c r="P86" s="34">
        <f t="shared" si="45"/>
        <v>1.0260000000000002</v>
      </c>
      <c r="Q86" s="35">
        <f t="shared" si="46"/>
        <v>0.11861712930060603</v>
      </c>
    </row>
    <row r="87" spans="7:17" ht="13.5" thickBot="1">
      <c r="G87" s="28"/>
      <c r="K87" s="28"/>
      <c r="L87" s="29"/>
      <c r="O87" s="3"/>
      <c r="P87" s="28"/>
      <c r="Q87" s="29"/>
    </row>
    <row r="88" spans="3:17" ht="13.5" thickBot="1">
      <c r="C88" s="10" t="s">
        <v>2</v>
      </c>
      <c r="D88" s="11" t="s">
        <v>3</v>
      </c>
      <c r="G88" s="28"/>
      <c r="K88" s="28"/>
      <c r="L88" s="29"/>
      <c r="O88" s="3"/>
      <c r="P88" s="28"/>
      <c r="Q88" s="29"/>
    </row>
    <row r="89" spans="2:17" ht="12.75">
      <c r="B89" s="46">
        <v>0.1</v>
      </c>
      <c r="C89" s="24">
        <v>0.19</v>
      </c>
      <c r="D89" s="6">
        <v>21815</v>
      </c>
      <c r="G89" s="28">
        <f aca="true" t="shared" si="47" ref="G89:G94">G$12/(D89/1000)</f>
        <v>0.06098057300022921</v>
      </c>
      <c r="K89" s="28">
        <f aca="true" t="shared" si="48" ref="K89:K94">C89*G$6</f>
        <v>1.71</v>
      </c>
      <c r="L89" s="29">
        <f aca="true" t="shared" si="49" ref="L89:L94">G89/K89</f>
        <v>0.03566115380130363</v>
      </c>
      <c r="O89" s="3">
        <f aca="true" t="shared" si="50" ref="O89:O94">C89-G$7</f>
        <v>0.08</v>
      </c>
      <c r="P89" s="28">
        <f aca="true" t="shared" si="51" ref="P89:P94">O89*G$6</f>
        <v>0.72</v>
      </c>
      <c r="Q89" s="29">
        <f t="shared" si="46"/>
        <v>0.08469524027809612</v>
      </c>
    </row>
    <row r="90" spans="2:17" ht="12.75">
      <c r="B90" s="47"/>
      <c r="C90" s="25">
        <v>0.18</v>
      </c>
      <c r="D90" s="8">
        <v>21847</v>
      </c>
      <c r="G90" s="28">
        <f t="shared" si="47"/>
        <v>0.0608912528035886</v>
      </c>
      <c r="K90" s="28">
        <f t="shared" si="48"/>
        <v>1.6199999999999999</v>
      </c>
      <c r="L90" s="29">
        <f t="shared" si="49"/>
        <v>0.03758719308863494</v>
      </c>
      <c r="O90" s="3">
        <f t="shared" si="50"/>
        <v>0.06999999999999999</v>
      </c>
      <c r="P90" s="28">
        <f t="shared" si="51"/>
        <v>0.6299999999999999</v>
      </c>
      <c r="Q90" s="29">
        <f t="shared" si="46"/>
        <v>0.09665278222791843</v>
      </c>
    </row>
    <row r="91" spans="2:17" ht="12.75">
      <c r="B91" s="47"/>
      <c r="C91" s="25">
        <v>0.19</v>
      </c>
      <c r="D91" s="8">
        <v>21844</v>
      </c>
      <c r="G91" s="28">
        <f t="shared" si="47"/>
        <v>0.060899615455044874</v>
      </c>
      <c r="K91" s="28">
        <f t="shared" si="48"/>
        <v>1.71</v>
      </c>
      <c r="L91" s="29">
        <f t="shared" si="49"/>
        <v>0.035613810207628584</v>
      </c>
      <c r="O91" s="3">
        <f t="shared" si="50"/>
        <v>0.08</v>
      </c>
      <c r="P91" s="28">
        <f t="shared" si="51"/>
        <v>0.72</v>
      </c>
      <c r="Q91" s="29">
        <f t="shared" si="46"/>
        <v>0.08458279924311789</v>
      </c>
    </row>
    <row r="92" spans="2:17" ht="12.75">
      <c r="B92" s="47"/>
      <c r="C92" s="25">
        <v>0.2</v>
      </c>
      <c r="D92" s="8">
        <v>21849</v>
      </c>
      <c r="G92" s="28">
        <f t="shared" si="47"/>
        <v>0.06088567897844296</v>
      </c>
      <c r="K92" s="28">
        <f t="shared" si="48"/>
        <v>1.8</v>
      </c>
      <c r="L92" s="29">
        <f t="shared" si="49"/>
        <v>0.03382537721024609</v>
      </c>
      <c r="O92" s="3">
        <f t="shared" si="50"/>
        <v>0.09000000000000001</v>
      </c>
      <c r="P92" s="28">
        <f t="shared" si="51"/>
        <v>0.81</v>
      </c>
      <c r="Q92" s="29">
        <f t="shared" si="46"/>
        <v>0.07516750491165797</v>
      </c>
    </row>
    <row r="93" spans="2:17" ht="13.5" thickBot="1">
      <c r="B93" s="48"/>
      <c r="C93" s="26">
        <v>0.19</v>
      </c>
      <c r="D93" s="9">
        <v>21841</v>
      </c>
      <c r="G93" s="28">
        <f t="shared" si="47"/>
        <v>0.06090798040382767</v>
      </c>
      <c r="K93" s="28">
        <f t="shared" si="48"/>
        <v>1.71</v>
      </c>
      <c r="L93" s="29">
        <f t="shared" si="49"/>
        <v>0.0356187019905425</v>
      </c>
      <c r="O93" s="3">
        <f t="shared" si="50"/>
        <v>0.08</v>
      </c>
      <c r="P93" s="28">
        <f t="shared" si="51"/>
        <v>0.72</v>
      </c>
      <c r="Q93" s="29">
        <f t="shared" si="46"/>
        <v>0.08459441722753844</v>
      </c>
    </row>
    <row r="94" spans="2:17" s="33" customFormat="1" ht="13.5" thickBot="1">
      <c r="B94" s="38" t="s">
        <v>4</v>
      </c>
      <c r="C94" s="39">
        <f>SUM(C89:C93)/5</f>
        <v>0.19</v>
      </c>
      <c r="D94" s="40">
        <f>SUM(D89:D93)/5</f>
        <v>21839.2</v>
      </c>
      <c r="G94" s="34">
        <f t="shared" si="47"/>
        <v>0.06091300047620792</v>
      </c>
      <c r="K94" s="34">
        <f t="shared" si="48"/>
        <v>1.71</v>
      </c>
      <c r="L94" s="35">
        <f t="shared" si="49"/>
        <v>0.03562163770538475</v>
      </c>
      <c r="O94" s="37">
        <f t="shared" si="50"/>
        <v>0.08</v>
      </c>
      <c r="P94" s="34">
        <f t="shared" si="51"/>
        <v>0.72</v>
      </c>
      <c r="Q94" s="35">
        <f t="shared" si="46"/>
        <v>0.08460138955028879</v>
      </c>
    </row>
    <row r="97" spans="4:17" ht="12.75">
      <c r="D97" t="s">
        <v>37</v>
      </c>
      <c r="L97" t="s">
        <v>36</v>
      </c>
      <c r="Q97" t="s">
        <v>36</v>
      </c>
    </row>
    <row r="98" spans="3:17" ht="12.75">
      <c r="C98" s="44">
        <v>1</v>
      </c>
      <c r="D98">
        <f>100-10*(C98-1)</f>
        <v>100</v>
      </c>
      <c r="L98" s="29">
        <f ca="1">INDIRECT("L"&amp;(14+8*C98))</f>
        <v>0.1160114067446302</v>
      </c>
      <c r="Q98" s="29">
        <f ca="1">INDIRECT("Q"&amp;(14+8*C98))</f>
        <v>0.17981768045417681</v>
      </c>
    </row>
    <row r="99" spans="3:17" ht="12.75">
      <c r="C99" s="44">
        <v>2</v>
      </c>
      <c r="D99">
        <f aca="true" t="shared" si="52" ref="D99:D107">100-10*(C99-1)</f>
        <v>90</v>
      </c>
      <c r="L99" s="29">
        <f ca="1" t="shared" si="53" ref="L99:L107">INDIRECT("L"&amp;(14+8*C99))</f>
        <v>0.1155366735264795</v>
      </c>
      <c r="Q99" s="29">
        <f ca="1" t="shared" si="54" ref="Q99:Q107">INDIRECT("Q"&amp;(14+8*C99))</f>
        <v>0.18774709448052915</v>
      </c>
    </row>
    <row r="100" spans="3:17" ht="12.75">
      <c r="C100" s="44">
        <v>3</v>
      </c>
      <c r="D100">
        <f t="shared" si="52"/>
        <v>80</v>
      </c>
      <c r="L100" s="29">
        <f ca="1" t="shared" si="53"/>
        <v>0.12603097295834725</v>
      </c>
      <c r="Q100" s="29">
        <f ca="1" t="shared" si="54"/>
        <v>0.20758042604904253</v>
      </c>
    </row>
    <row r="101" spans="3:17" ht="12.75">
      <c r="C101" s="44">
        <v>4</v>
      </c>
      <c r="D101">
        <f t="shared" si="52"/>
        <v>70</v>
      </c>
      <c r="L101" s="29">
        <f ca="1" t="shared" si="53"/>
        <v>0.13678149602170195</v>
      </c>
      <c r="Q101" s="29">
        <f ca="1" t="shared" si="54"/>
        <v>0.23200911983427921</v>
      </c>
    </row>
    <row r="102" spans="3:17" ht="12.75">
      <c r="C102" s="44">
        <v>5</v>
      </c>
      <c r="D102">
        <f t="shared" si="52"/>
        <v>60</v>
      </c>
      <c r="L102" s="29">
        <f ca="1" t="shared" si="53"/>
        <v>0.12672475601012542</v>
      </c>
      <c r="Q102" s="29">
        <f ca="1" t="shared" si="54"/>
        <v>0.22220231190816514</v>
      </c>
    </row>
    <row r="103" spans="3:17" ht="12.75">
      <c r="C103" s="44">
        <v>6</v>
      </c>
      <c r="D103">
        <f t="shared" si="52"/>
        <v>50</v>
      </c>
      <c r="L103" s="29">
        <f ca="1" t="shared" si="53"/>
        <v>0.11605410838972331</v>
      </c>
      <c r="Q103" s="29">
        <f ca="1" t="shared" si="54"/>
        <v>0.21132240632158572</v>
      </c>
    </row>
    <row r="104" spans="3:17" ht="12.75">
      <c r="C104" s="44">
        <v>7</v>
      </c>
      <c r="D104">
        <f t="shared" si="52"/>
        <v>40</v>
      </c>
      <c r="L104" s="29">
        <f ca="1" t="shared" si="53"/>
        <v>0.1004592626424095</v>
      </c>
      <c r="Q104" s="29">
        <f ca="1" t="shared" si="54"/>
        <v>0.1854632541090637</v>
      </c>
    </row>
    <row r="105" spans="3:17" ht="12.75">
      <c r="C105" s="44">
        <v>8</v>
      </c>
      <c r="D105">
        <f t="shared" si="52"/>
        <v>30</v>
      </c>
      <c r="L105" s="29">
        <f ca="1" t="shared" si="53"/>
        <v>0.08374079103296951</v>
      </c>
      <c r="Q105" s="29">
        <f ca="1" t="shared" si="54"/>
        <v>0.15684783082365716</v>
      </c>
    </row>
    <row r="106" spans="3:17" ht="12.75">
      <c r="C106" s="44">
        <v>9</v>
      </c>
      <c r="D106">
        <f t="shared" si="52"/>
        <v>20</v>
      </c>
      <c r="L106" s="29">
        <f ca="1" t="shared" si="53"/>
        <v>0.06036764616191557</v>
      </c>
      <c r="Q106" s="29">
        <f ca="1" t="shared" si="54"/>
        <v>0.11861712930060603</v>
      </c>
    </row>
    <row r="107" spans="3:17" ht="12.75">
      <c r="C107" s="44">
        <v>10</v>
      </c>
      <c r="D107">
        <f t="shared" si="52"/>
        <v>10</v>
      </c>
      <c r="L107" s="29">
        <f ca="1" t="shared" si="53"/>
        <v>0.03562163770538475</v>
      </c>
      <c r="Q107" s="29">
        <f ca="1" t="shared" si="54"/>
        <v>0.08460138955028879</v>
      </c>
    </row>
  </sheetData>
  <mergeCells count="10">
    <mergeCell ref="B73:B77"/>
    <mergeCell ref="B81:B85"/>
    <mergeCell ref="B89:B93"/>
    <mergeCell ref="B17:B21"/>
    <mergeCell ref="B25:B29"/>
    <mergeCell ref="B33:B37"/>
    <mergeCell ref="B41:B45"/>
    <mergeCell ref="B49:B53"/>
    <mergeCell ref="B57:B61"/>
    <mergeCell ref="B65:B6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84"/>
  <sheetViews>
    <sheetView tabSelected="1" workbookViewId="0" topLeftCell="A47">
      <selection activeCell="H67" sqref="H67"/>
    </sheetView>
  </sheetViews>
  <sheetFormatPr defaultColWidth="9.140625" defaultRowHeight="12.75"/>
  <cols>
    <col min="1" max="1" width="8.28125" style="0" customWidth="1"/>
    <col min="2" max="8" width="10.57421875" style="0" customWidth="1"/>
  </cols>
  <sheetData>
    <row r="4" ht="13.5" thickBot="1">
      <c r="B4" s="33" t="s">
        <v>38</v>
      </c>
    </row>
    <row r="5" spans="1:4" ht="13.5" thickBot="1">
      <c r="A5" s="64" t="s">
        <v>1</v>
      </c>
      <c r="B5" s="24" t="s">
        <v>39</v>
      </c>
      <c r="C5" s="6" t="s">
        <v>46</v>
      </c>
      <c r="D5" s="11" t="s">
        <v>40</v>
      </c>
    </row>
    <row r="6" spans="1:4" ht="13.5" thickBot="1">
      <c r="A6" s="67" t="s">
        <v>45</v>
      </c>
      <c r="B6" s="68" t="s">
        <v>43</v>
      </c>
      <c r="C6" s="69">
        <v>0.010987</v>
      </c>
      <c r="D6" s="32">
        <v>0.010987</v>
      </c>
    </row>
    <row r="7" spans="1:4" ht="12.75">
      <c r="A7" s="65">
        <v>10</v>
      </c>
      <c r="B7" s="70">
        <f>0.018699049*100</f>
        <v>1.8699048999999999</v>
      </c>
      <c r="C7" s="8">
        <v>1.99</v>
      </c>
      <c r="D7" s="71">
        <f>SUM(B7:C7)/2</f>
        <v>1.92995245</v>
      </c>
    </row>
    <row r="8" spans="1:4" ht="12.75">
      <c r="A8" s="65">
        <v>20</v>
      </c>
      <c r="B8" s="70">
        <f>0.0337796626856936*100</f>
        <v>3.3779662685693603</v>
      </c>
      <c r="C8" s="8">
        <v>3.67</v>
      </c>
      <c r="D8" s="71">
        <f>SUM(B8:C8)/2</f>
        <v>3.52398313428468</v>
      </c>
    </row>
    <row r="9" spans="1:4" ht="12.75">
      <c r="A9" s="65">
        <v>30</v>
      </c>
      <c r="B9" s="70">
        <f>0.046758544752674*100</f>
        <v>4.6758544752674</v>
      </c>
      <c r="C9" s="8">
        <v>5.11</v>
      </c>
      <c r="D9" s="71">
        <f aca="true" t="shared" si="0" ref="D9:D16">SUM(B9:C9)/2</f>
        <v>4.8929272376337</v>
      </c>
    </row>
    <row r="10" spans="1:4" ht="12.75">
      <c r="A10" s="65">
        <v>40</v>
      </c>
      <c r="B10" s="70">
        <f>0.0593650787912899*100</f>
        <v>5.936507879128991</v>
      </c>
      <c r="C10" s="8">
        <v>6.38</v>
      </c>
      <c r="D10" s="71">
        <f t="shared" si="0"/>
        <v>6.158253939564496</v>
      </c>
    </row>
    <row r="11" spans="1:4" ht="12.75">
      <c r="A11" s="65">
        <v>50</v>
      </c>
      <c r="B11" s="70">
        <f>0.0667362326645033*100</f>
        <v>6.67362326645033</v>
      </c>
      <c r="C11" s="8">
        <v>9.17</v>
      </c>
      <c r="D11" s="71">
        <f t="shared" si="0"/>
        <v>7.921811633225165</v>
      </c>
    </row>
    <row r="12" spans="1:4" ht="12.75">
      <c r="A12" s="65">
        <v>60</v>
      </c>
      <c r="B12" s="70">
        <f>0.0768695644469937*100</f>
        <v>7.686956444699369</v>
      </c>
      <c r="C12" s="8">
        <v>8.03</v>
      </c>
      <c r="D12" s="71">
        <f t="shared" si="0"/>
        <v>7.858478222349684</v>
      </c>
    </row>
    <row r="13" spans="1:4" ht="12.75">
      <c r="A13" s="65">
        <v>70</v>
      </c>
      <c r="B13" s="70">
        <f>0.0852932112031046*100</f>
        <v>8.52932112031046</v>
      </c>
      <c r="C13" s="8">
        <v>8.85</v>
      </c>
      <c r="D13" s="71">
        <f t="shared" si="0"/>
        <v>8.689660560155229</v>
      </c>
    </row>
    <row r="14" spans="1:9" ht="12.75">
      <c r="A14" s="65">
        <v>80</v>
      </c>
      <c r="B14" s="70">
        <f>0.0891804038327399*100</f>
        <v>8.91804038327399</v>
      </c>
      <c r="C14" s="8">
        <v>9.48</v>
      </c>
      <c r="D14" s="71">
        <f t="shared" si="0"/>
        <v>9.199020191636995</v>
      </c>
      <c r="I14" s="33"/>
    </row>
    <row r="15" spans="1:9" ht="12.75">
      <c r="A15" s="65">
        <v>90</v>
      </c>
      <c r="B15" s="70">
        <f>0.0880427596218951*100</f>
        <v>8.80427596218951</v>
      </c>
      <c r="C15" s="8">
        <v>10.03</v>
      </c>
      <c r="D15" s="71">
        <f t="shared" si="0"/>
        <v>9.417137981094754</v>
      </c>
      <c r="I15" s="55"/>
    </row>
    <row r="16" spans="1:9" ht="13.5" thickBot="1">
      <c r="A16" s="66">
        <v>100</v>
      </c>
      <c r="B16" s="72">
        <f>0.0775757637805239*100</f>
        <v>7.7575763780523905</v>
      </c>
      <c r="C16" s="9">
        <v>10.25</v>
      </c>
      <c r="D16" s="73">
        <f t="shared" si="0"/>
        <v>9.003788189026196</v>
      </c>
      <c r="I16" s="27"/>
    </row>
    <row r="17" spans="2:9" ht="15.75">
      <c r="B17" s="2"/>
      <c r="I17" s="27"/>
    </row>
    <row r="18" spans="2:9" ht="13.5" thickBot="1">
      <c r="B18" s="33" t="s">
        <v>41</v>
      </c>
      <c r="I18" s="33"/>
    </row>
    <row r="19" spans="1:9" ht="13.5" thickBot="1">
      <c r="A19" s="64" t="s">
        <v>1</v>
      </c>
      <c r="B19" s="24" t="s">
        <v>42</v>
      </c>
      <c r="C19" s="14" t="s">
        <v>44</v>
      </c>
      <c r="D19" s="14" t="s">
        <v>47</v>
      </c>
      <c r="E19" s="14" t="s">
        <v>48</v>
      </c>
      <c r="F19" s="75" t="s">
        <v>40</v>
      </c>
      <c r="I19" s="55"/>
    </row>
    <row r="20" spans="1:9" ht="16.5" thickBot="1">
      <c r="A20" s="67" t="s">
        <v>45</v>
      </c>
      <c r="B20" s="68" t="s">
        <v>43</v>
      </c>
      <c r="C20" s="76">
        <v>0.022170602</v>
      </c>
      <c r="D20" s="76">
        <v>0.025506</v>
      </c>
      <c r="E20" s="76">
        <v>0.021582</v>
      </c>
      <c r="F20" s="77">
        <f>AVERAGE(C20:E20)</f>
        <v>0.023086200666666667</v>
      </c>
      <c r="G20" s="2"/>
      <c r="I20" s="27"/>
    </row>
    <row r="21" spans="1:9" ht="12.75">
      <c r="A21" s="65">
        <v>10</v>
      </c>
      <c r="B21" s="74" t="s">
        <v>43</v>
      </c>
      <c r="C21" s="15">
        <v>3.53</v>
      </c>
      <c r="D21" s="78">
        <v>4.38</v>
      </c>
      <c r="E21" s="15">
        <v>3.26</v>
      </c>
      <c r="F21" s="79">
        <f>AVERAGE(C21:E21)</f>
        <v>3.723333333333333</v>
      </c>
      <c r="I21" s="27"/>
    </row>
    <row r="22" spans="1:9" ht="12.75">
      <c r="A22" s="65">
        <v>20</v>
      </c>
      <c r="B22" s="70">
        <v>4.37964359532987</v>
      </c>
      <c r="C22" s="15">
        <v>6.17</v>
      </c>
      <c r="D22" s="78">
        <v>7.3106582211952045</v>
      </c>
      <c r="E22" s="15">
        <v>5.06</v>
      </c>
      <c r="F22" s="79">
        <f>AVERAGE(B22:E22)</f>
        <v>5.730075454131268</v>
      </c>
      <c r="I22" s="33"/>
    </row>
    <row r="23" spans="1:9" ht="12.75">
      <c r="A23" s="65">
        <v>30</v>
      </c>
      <c r="B23" s="70">
        <v>6.680978402289877</v>
      </c>
      <c r="C23" s="15">
        <v>8.14</v>
      </c>
      <c r="D23" s="78">
        <v>9.636290008924455</v>
      </c>
      <c r="E23" s="15">
        <v>6.9</v>
      </c>
      <c r="F23" s="79">
        <f aca="true" t="shared" si="1" ref="F23:F30">AVERAGE(B23:E23)</f>
        <v>7.839317102803584</v>
      </c>
      <c r="I23" s="55"/>
    </row>
    <row r="24" spans="1:9" ht="12.75">
      <c r="A24" s="65">
        <v>40</v>
      </c>
      <c r="B24" s="70">
        <v>10.66468253968254</v>
      </c>
      <c r="C24" s="15">
        <v>9.58</v>
      </c>
      <c r="D24" s="78">
        <v>12.107249975446283</v>
      </c>
      <c r="E24" s="15">
        <v>9.15</v>
      </c>
      <c r="F24" s="79">
        <f t="shared" si="1"/>
        <v>10.375483128782205</v>
      </c>
      <c r="I24" s="27"/>
    </row>
    <row r="25" spans="1:9" ht="12.75">
      <c r="A25" s="65">
        <v>50</v>
      </c>
      <c r="B25" s="70">
        <v>12.786596119929456</v>
      </c>
      <c r="C25" s="15">
        <v>10.69</v>
      </c>
      <c r="D25" s="78">
        <v>13.619487517389379</v>
      </c>
      <c r="E25" s="15">
        <v>11.55</v>
      </c>
      <c r="F25" s="79">
        <f t="shared" si="1"/>
        <v>12.16152090932971</v>
      </c>
      <c r="I25" s="27"/>
    </row>
    <row r="26" spans="1:9" ht="12.75">
      <c r="A26" s="65">
        <v>60</v>
      </c>
      <c r="B26" s="70">
        <v>14.50904392764858</v>
      </c>
      <c r="C26" s="15">
        <v>12.14</v>
      </c>
      <c r="D26" s="78">
        <v>15.288373696322854</v>
      </c>
      <c r="E26" s="15">
        <v>11.51</v>
      </c>
      <c r="F26" s="79">
        <f t="shared" si="1"/>
        <v>13.361854405992858</v>
      </c>
      <c r="I26" s="33"/>
    </row>
    <row r="27" spans="1:9" ht="12.75">
      <c r="A27" s="65">
        <v>70</v>
      </c>
      <c r="B27" s="70">
        <v>14.520202020202019</v>
      </c>
      <c r="C27" s="15">
        <v>12.26</v>
      </c>
      <c r="D27" s="78">
        <v>15.446671849975328</v>
      </c>
      <c r="E27" s="15">
        <v>10.77</v>
      </c>
      <c r="F27" s="79">
        <f t="shared" si="1"/>
        <v>13.249218467544335</v>
      </c>
      <c r="I27" s="55"/>
    </row>
    <row r="28" spans="1:15" ht="12.75">
      <c r="A28" s="65">
        <v>80</v>
      </c>
      <c r="B28" s="70">
        <v>15.586206896551724</v>
      </c>
      <c r="C28" s="15">
        <v>12.63</v>
      </c>
      <c r="D28" s="78">
        <v>16.240605909220466</v>
      </c>
      <c r="E28" s="15">
        <v>12</v>
      </c>
      <c r="F28" s="79">
        <f t="shared" si="1"/>
        <v>14.114203201443047</v>
      </c>
      <c r="I28" s="27"/>
      <c r="K28" s="51"/>
      <c r="L28" s="52"/>
      <c r="M28" s="52"/>
      <c r="N28" s="53"/>
      <c r="O28" s="52"/>
    </row>
    <row r="29" spans="1:15" ht="12.75">
      <c r="A29" s="65">
        <v>90</v>
      </c>
      <c r="B29" s="70">
        <v>16.07142857142857</v>
      </c>
      <c r="C29" s="15">
        <v>12.17</v>
      </c>
      <c r="D29" s="78">
        <v>16.62809209471468</v>
      </c>
      <c r="E29" s="15">
        <v>14.05</v>
      </c>
      <c r="F29" s="79">
        <f t="shared" si="1"/>
        <v>14.729880166535814</v>
      </c>
      <c r="I29" s="27"/>
      <c r="K29" s="54"/>
      <c r="L29" s="52"/>
      <c r="M29" s="52"/>
      <c r="N29" s="53"/>
      <c r="O29" s="52"/>
    </row>
    <row r="30" spans="1:15" ht="13.5" thickBot="1">
      <c r="A30" s="66">
        <v>100</v>
      </c>
      <c r="B30" s="72">
        <v>17.291354322838583</v>
      </c>
      <c r="C30" s="16">
        <v>13.8</v>
      </c>
      <c r="D30" s="80">
        <v>17.36511622712202</v>
      </c>
      <c r="E30" s="16">
        <v>13.78</v>
      </c>
      <c r="F30" s="81">
        <f t="shared" si="1"/>
        <v>15.55911763749015</v>
      </c>
      <c r="I30" s="27"/>
      <c r="K30" s="54"/>
      <c r="L30" s="52"/>
      <c r="M30" s="52"/>
      <c r="N30" s="53"/>
      <c r="O30" s="52"/>
    </row>
    <row r="31" spans="4:15" ht="15.75">
      <c r="D31" s="45"/>
      <c r="K31" s="54"/>
      <c r="L31" s="52"/>
      <c r="M31" s="52"/>
      <c r="N31" s="52"/>
      <c r="O31" s="52"/>
    </row>
    <row r="32" spans="1:9" ht="13.5" thickBot="1">
      <c r="A32" s="54"/>
      <c r="B32" s="60" t="s">
        <v>49</v>
      </c>
      <c r="I32" s="27"/>
    </row>
    <row r="33" spans="1:15" ht="13.5" thickBot="1">
      <c r="A33" s="77" t="s">
        <v>1</v>
      </c>
      <c r="B33" s="84" t="s">
        <v>50</v>
      </c>
      <c r="C33" s="84" t="s">
        <v>51</v>
      </c>
      <c r="D33" s="84" t="s">
        <v>52</v>
      </c>
      <c r="E33" s="84" t="s">
        <v>53</v>
      </c>
      <c r="F33" s="84" t="s">
        <v>54</v>
      </c>
      <c r="G33" s="85" t="s">
        <v>55</v>
      </c>
      <c r="H33" s="32" t="s">
        <v>40</v>
      </c>
      <c r="I33" s="27"/>
      <c r="K33" s="59"/>
      <c r="L33" s="52"/>
      <c r="M33" s="52"/>
      <c r="N33" s="53"/>
      <c r="O33" s="52"/>
    </row>
    <row r="34" spans="1:15" ht="13.5" thickBot="1">
      <c r="A34" s="82" t="s">
        <v>45</v>
      </c>
      <c r="B34" s="86">
        <f>3.5316/100</f>
        <v>0.035316</v>
      </c>
      <c r="C34" s="86">
        <v>0.035129475</v>
      </c>
      <c r="D34" s="86">
        <v>0.035785225</v>
      </c>
      <c r="E34" s="86">
        <v>0.03265598</v>
      </c>
      <c r="F34" s="16">
        <v>0.04089071</v>
      </c>
      <c r="G34" s="9">
        <v>0.0353</v>
      </c>
      <c r="H34" s="40">
        <f>AVERAGE(B34:G34)</f>
        <v>0.035846231666666666</v>
      </c>
      <c r="I34" s="27"/>
      <c r="K34" s="59"/>
      <c r="L34" s="52"/>
      <c r="M34" s="52"/>
      <c r="N34" s="54"/>
      <c r="O34" s="52"/>
    </row>
    <row r="35" spans="1:15" ht="12.75">
      <c r="A35" s="83">
        <v>10</v>
      </c>
      <c r="B35" s="62">
        <v>3.929604511012334</v>
      </c>
      <c r="C35" s="62">
        <v>4.091335627</v>
      </c>
      <c r="D35" s="7">
        <v>3.4</v>
      </c>
      <c r="E35" s="62">
        <v>4.39</v>
      </c>
      <c r="F35" s="62">
        <v>4.726477554</v>
      </c>
      <c r="G35" s="87">
        <v>3.6</v>
      </c>
      <c r="H35" s="71">
        <f aca="true" t="shared" si="2" ref="H35:H44">AVERAGE(B35:G35)</f>
        <v>4.0229029486687224</v>
      </c>
      <c r="K35" s="59"/>
      <c r="L35" s="52"/>
      <c r="M35" s="52"/>
      <c r="N35" s="52"/>
      <c r="O35" s="52"/>
    </row>
    <row r="36" spans="1:15" ht="12.75">
      <c r="A36" s="83">
        <v>20</v>
      </c>
      <c r="B36" s="62">
        <v>6.97551543066323</v>
      </c>
      <c r="C36" s="62">
        <v>7.194719471947194</v>
      </c>
      <c r="D36" s="7">
        <v>6.26</v>
      </c>
      <c r="E36" s="62">
        <v>7.75</v>
      </c>
      <c r="F36" s="62">
        <v>7.829381247</v>
      </c>
      <c r="G36" s="87">
        <v>6</v>
      </c>
      <c r="H36" s="71">
        <f t="shared" si="2"/>
        <v>7.001602691601737</v>
      </c>
      <c r="I36" s="27"/>
      <c r="K36" s="59"/>
      <c r="L36" s="52"/>
      <c r="M36" s="53"/>
      <c r="N36" s="52"/>
      <c r="O36" s="52"/>
    </row>
    <row r="37" spans="1:15" ht="12.75">
      <c r="A37" s="83">
        <v>30</v>
      </c>
      <c r="B37" s="62">
        <v>8.93657242101821</v>
      </c>
      <c r="C37" s="62">
        <v>10.236744277049501</v>
      </c>
      <c r="D37" s="7">
        <v>8.84</v>
      </c>
      <c r="E37" s="62">
        <v>9.87</v>
      </c>
      <c r="F37" s="62">
        <v>9.763597747</v>
      </c>
      <c r="G37" s="87">
        <v>8.4</v>
      </c>
      <c r="H37" s="71">
        <f t="shared" si="2"/>
        <v>9.341152407511284</v>
      </c>
      <c r="I37" s="27"/>
      <c r="K37" s="59"/>
      <c r="L37" s="52"/>
      <c r="M37" s="53"/>
      <c r="N37" s="52"/>
      <c r="O37" s="52"/>
    </row>
    <row r="38" spans="1:15" ht="12.75">
      <c r="A38" s="83">
        <v>40</v>
      </c>
      <c r="B38" s="62">
        <v>10.739508645158761</v>
      </c>
      <c r="C38" s="62">
        <v>11.935667845329077</v>
      </c>
      <c r="D38" s="7">
        <v>10.95</v>
      </c>
      <c r="E38" s="62">
        <v>10.91</v>
      </c>
      <c r="F38" s="62">
        <v>11.99219138</v>
      </c>
      <c r="G38" s="87">
        <v>10</v>
      </c>
      <c r="H38" s="71">
        <f t="shared" si="2"/>
        <v>11.087894645081306</v>
      </c>
      <c r="I38" s="27"/>
      <c r="K38" s="59"/>
      <c r="L38" s="52"/>
      <c r="M38" s="52"/>
      <c r="N38" s="52"/>
      <c r="O38" s="52"/>
    </row>
    <row r="39" spans="1:15" ht="12.75">
      <c r="A39" s="83">
        <v>50</v>
      </c>
      <c r="B39" s="62">
        <v>12.213797844541066</v>
      </c>
      <c r="C39" s="62">
        <v>12.421652421652423</v>
      </c>
      <c r="D39" s="7">
        <v>12.28</v>
      </c>
      <c r="E39" s="62">
        <v>12.65</v>
      </c>
      <c r="F39" s="62">
        <v>14.09625383</v>
      </c>
      <c r="G39" s="87">
        <v>11.6</v>
      </c>
      <c r="H39" s="71">
        <f t="shared" si="2"/>
        <v>12.543617349365581</v>
      </c>
      <c r="K39" s="59"/>
      <c r="L39" s="27"/>
      <c r="M39" s="27"/>
      <c r="N39" s="27"/>
      <c r="O39" s="27"/>
    </row>
    <row r="40" spans="1:15" ht="12.75">
      <c r="A40" s="83">
        <v>60</v>
      </c>
      <c r="B40" s="62">
        <v>13.130214651944689</v>
      </c>
      <c r="C40" s="62">
        <v>13.801836024058245</v>
      </c>
      <c r="D40" s="7">
        <v>13.16</v>
      </c>
      <c r="E40" s="62">
        <v>12.02</v>
      </c>
      <c r="F40" s="62">
        <v>15.76268317</v>
      </c>
      <c r="G40" s="87">
        <v>12.7</v>
      </c>
      <c r="H40" s="71">
        <f t="shared" si="2"/>
        <v>13.429122307667157</v>
      </c>
      <c r="I40" s="27"/>
      <c r="K40" s="59"/>
      <c r="L40" s="27"/>
      <c r="M40" s="27"/>
      <c r="N40" s="27"/>
      <c r="O40" s="27"/>
    </row>
    <row r="41" spans="1:11" ht="12.75">
      <c r="A41" s="83">
        <v>70</v>
      </c>
      <c r="B41" s="62">
        <v>14.221782776016061</v>
      </c>
      <c r="C41" s="62">
        <v>14.526070298184242</v>
      </c>
      <c r="D41" s="7">
        <v>13.7</v>
      </c>
      <c r="E41" s="62">
        <v>13.01</v>
      </c>
      <c r="F41" s="62">
        <v>15.13332396</v>
      </c>
      <c r="G41" s="87">
        <v>13.7</v>
      </c>
      <c r="H41" s="71">
        <f t="shared" si="2"/>
        <v>14.048529505700051</v>
      </c>
      <c r="I41" s="27"/>
      <c r="K41" s="59"/>
    </row>
    <row r="42" spans="1:11" ht="12.75">
      <c r="A42" s="83">
        <v>80</v>
      </c>
      <c r="B42" s="62">
        <v>14.246888730379142</v>
      </c>
      <c r="C42" s="62">
        <v>13.90084489080185</v>
      </c>
      <c r="D42" s="7">
        <v>14.19</v>
      </c>
      <c r="E42" s="62">
        <v>13.03</v>
      </c>
      <c r="F42" s="62">
        <v>15.30598837</v>
      </c>
      <c r="G42" s="87">
        <v>12.6</v>
      </c>
      <c r="H42" s="71">
        <f t="shared" si="2"/>
        <v>13.87895366519683</v>
      </c>
      <c r="I42" s="27"/>
      <c r="K42" s="59"/>
    </row>
    <row r="43" spans="1:8" ht="12.75">
      <c r="A43" s="83">
        <v>90</v>
      </c>
      <c r="B43" s="62">
        <v>15.236831709077403</v>
      </c>
      <c r="C43" s="62">
        <v>15.793127735573782</v>
      </c>
      <c r="D43" s="7">
        <v>14.29</v>
      </c>
      <c r="E43" s="62">
        <v>12.48</v>
      </c>
      <c r="F43" s="62">
        <v>15.3404728</v>
      </c>
      <c r="G43" s="87">
        <v>11.6</v>
      </c>
      <c r="H43" s="71">
        <f t="shared" si="2"/>
        <v>14.123405374108529</v>
      </c>
    </row>
    <row r="44" spans="1:9" ht="13.5" thickBot="1">
      <c r="A44" s="82">
        <v>100</v>
      </c>
      <c r="B44" s="88">
        <v>14.66885105423385</v>
      </c>
      <c r="C44" s="88">
        <v>16.181610119691957</v>
      </c>
      <c r="D44" s="89">
        <v>13.94</v>
      </c>
      <c r="E44" s="88">
        <v>15</v>
      </c>
      <c r="F44" s="88">
        <v>15.71337049</v>
      </c>
      <c r="G44" s="90">
        <v>11.6</v>
      </c>
      <c r="H44" s="73">
        <f t="shared" si="2"/>
        <v>14.517305277320967</v>
      </c>
      <c r="I44" s="27"/>
    </row>
    <row r="45" ht="12.75">
      <c r="I45" s="27"/>
    </row>
    <row r="46" spans="1:9" ht="13.5" thickBot="1">
      <c r="A46" s="54"/>
      <c r="B46" s="60" t="s">
        <v>56</v>
      </c>
      <c r="I46" s="27"/>
    </row>
    <row r="47" spans="1:5" ht="13.5" thickBot="1">
      <c r="A47" s="77" t="s">
        <v>1</v>
      </c>
      <c r="B47" s="84" t="s">
        <v>57</v>
      </c>
      <c r="C47" s="84" t="s">
        <v>58</v>
      </c>
      <c r="D47" s="69" t="s">
        <v>59</v>
      </c>
      <c r="E47" s="32" t="s">
        <v>40</v>
      </c>
    </row>
    <row r="48" spans="1:9" ht="13.5" thickBot="1">
      <c r="A48" s="82" t="s">
        <v>45</v>
      </c>
      <c r="B48" s="86" t="s">
        <v>43</v>
      </c>
      <c r="C48" s="86">
        <v>0.0479464</v>
      </c>
      <c r="D48" s="9">
        <f>3.924*0.0119</f>
        <v>0.046695600000000004</v>
      </c>
      <c r="E48" s="91">
        <f>AVERAGE(C48:D48)</f>
        <v>0.047321</v>
      </c>
      <c r="F48" s="27"/>
      <c r="G48" s="56"/>
      <c r="I48" s="27"/>
    </row>
    <row r="49" spans="1:8" ht="12.75">
      <c r="A49" s="83">
        <v>10</v>
      </c>
      <c r="B49" s="61">
        <v>3.825224</v>
      </c>
      <c r="C49" s="61">
        <v>4.17</v>
      </c>
      <c r="D49" s="94">
        <v>3.914</v>
      </c>
      <c r="E49" s="92">
        <f>AVERAGE(B49:D49)</f>
        <v>3.9697413333333333</v>
      </c>
      <c r="F49" s="56"/>
      <c r="H49" s="27"/>
    </row>
    <row r="50" spans="1:8" ht="12.75">
      <c r="A50" s="83">
        <v>20</v>
      </c>
      <c r="B50" s="61">
        <v>7.041416</v>
      </c>
      <c r="C50" s="61">
        <v>7.46</v>
      </c>
      <c r="D50" s="94">
        <v>6.743</v>
      </c>
      <c r="E50" s="92">
        <f aca="true" t="shared" si="3" ref="E50:E58">AVERAGE(B50:D50)</f>
        <v>7.081472000000001</v>
      </c>
      <c r="F50" s="56"/>
      <c r="H50" s="27"/>
    </row>
    <row r="51" spans="1:6" ht="12.75">
      <c r="A51" s="83">
        <v>30</v>
      </c>
      <c r="B51" s="61">
        <v>10.14343</v>
      </c>
      <c r="C51" s="61">
        <v>9.64</v>
      </c>
      <c r="D51" s="94">
        <v>9.101</v>
      </c>
      <c r="E51" s="92">
        <f t="shared" si="3"/>
        <v>9.628143333333334</v>
      </c>
      <c r="F51" s="58"/>
    </row>
    <row r="52" spans="1:8" ht="12.75">
      <c r="A52" s="83">
        <v>40</v>
      </c>
      <c r="B52" s="61">
        <v>11.19071</v>
      </c>
      <c r="C52" s="61">
        <v>12.07</v>
      </c>
      <c r="D52" s="94">
        <v>11.511</v>
      </c>
      <c r="E52" s="92">
        <f t="shared" si="3"/>
        <v>11.59057</v>
      </c>
      <c r="F52" s="58"/>
      <c r="H52" s="27"/>
    </row>
    <row r="53" spans="1:8" ht="12.75">
      <c r="A53" s="83">
        <v>50</v>
      </c>
      <c r="B53" s="61">
        <v>13.31377</v>
      </c>
      <c r="C53" s="61">
        <v>13.11</v>
      </c>
      <c r="D53" s="94">
        <v>13.051</v>
      </c>
      <c r="E53" s="92">
        <f t="shared" si="3"/>
        <v>13.158256666666666</v>
      </c>
      <c r="F53" s="58"/>
      <c r="H53" s="27"/>
    </row>
    <row r="54" spans="1:8" ht="12.75">
      <c r="A54" s="83">
        <v>60</v>
      </c>
      <c r="B54" s="61">
        <v>14.10534</v>
      </c>
      <c r="C54" s="61">
        <v>14.92</v>
      </c>
      <c r="D54" s="94">
        <v>14.252</v>
      </c>
      <c r="E54" s="92">
        <f t="shared" si="3"/>
        <v>14.425780000000001</v>
      </c>
      <c r="F54" s="58"/>
      <c r="H54" s="27"/>
    </row>
    <row r="55" spans="1:6" ht="12.75">
      <c r="A55" s="83">
        <v>70</v>
      </c>
      <c r="B55" s="61">
        <v>15.73485</v>
      </c>
      <c r="C55" s="61">
        <v>15.36</v>
      </c>
      <c r="D55" s="94">
        <v>15.402</v>
      </c>
      <c r="E55" s="92">
        <f t="shared" si="3"/>
        <v>15.49895</v>
      </c>
      <c r="F55" s="58"/>
    </row>
    <row r="56" spans="1:8" ht="12.75">
      <c r="A56" s="83">
        <v>80</v>
      </c>
      <c r="B56" s="61">
        <v>16.99985</v>
      </c>
      <c r="C56" s="61">
        <v>16.39</v>
      </c>
      <c r="D56" s="94">
        <v>16.171</v>
      </c>
      <c r="E56" s="92">
        <f t="shared" si="3"/>
        <v>16.52028333333333</v>
      </c>
      <c r="F56" s="58"/>
      <c r="H56" s="27"/>
    </row>
    <row r="57" spans="1:8" ht="12.75">
      <c r="A57" s="83">
        <v>90</v>
      </c>
      <c r="B57" s="61">
        <v>17.51811</v>
      </c>
      <c r="C57" s="61">
        <v>17.61</v>
      </c>
      <c r="D57" s="94">
        <v>15.172</v>
      </c>
      <c r="E57" s="92">
        <f t="shared" si="3"/>
        <v>16.766703333333336</v>
      </c>
      <c r="F57" s="58"/>
      <c r="H57" s="27"/>
    </row>
    <row r="58" spans="1:8" ht="13.5" thickBot="1">
      <c r="A58" s="82">
        <v>100</v>
      </c>
      <c r="B58" s="86">
        <v>17.76389</v>
      </c>
      <c r="C58" s="86">
        <v>16.4</v>
      </c>
      <c r="D58" s="95">
        <v>15.111</v>
      </c>
      <c r="E58" s="93">
        <f t="shared" si="3"/>
        <v>16.424963333333334</v>
      </c>
      <c r="F58" s="58"/>
      <c r="H58" s="27"/>
    </row>
    <row r="59" spans="2:6" ht="12.75">
      <c r="B59" s="57"/>
      <c r="C59" s="57"/>
      <c r="D59" s="27"/>
      <c r="E59" s="57"/>
      <c r="F59" s="58"/>
    </row>
    <row r="60" spans="1:8" ht="13.5" thickBot="1">
      <c r="A60" s="54"/>
      <c r="B60" s="60" t="s">
        <v>60</v>
      </c>
      <c r="C60" s="57"/>
      <c r="D60" s="27"/>
      <c r="E60" s="57"/>
      <c r="F60" s="58"/>
      <c r="H60" s="27"/>
    </row>
    <row r="61" spans="1:8" ht="13.5" thickBot="1">
      <c r="A61" s="77" t="s">
        <v>1</v>
      </c>
      <c r="B61" s="84" t="s">
        <v>62</v>
      </c>
      <c r="C61" s="84" t="s">
        <v>61</v>
      </c>
      <c r="D61" s="76" t="s">
        <v>64</v>
      </c>
      <c r="E61" s="97" t="s">
        <v>65</v>
      </c>
      <c r="F61" s="98" t="s">
        <v>40</v>
      </c>
      <c r="H61" s="27"/>
    </row>
    <row r="62" spans="1:8" ht="13.5" thickBot="1">
      <c r="A62" s="82" t="s">
        <v>45</v>
      </c>
      <c r="B62" s="16" t="s">
        <v>63</v>
      </c>
      <c r="C62" s="96">
        <f>4.93443*0.011</f>
        <v>0.05427873</v>
      </c>
      <c r="D62" s="86">
        <v>0.060466</v>
      </c>
      <c r="E62" s="99">
        <v>0.055272</v>
      </c>
      <c r="F62" s="100">
        <f>AVERAGE(C62:E62)</f>
        <v>0.05667224333333334</v>
      </c>
      <c r="H62" s="27"/>
    </row>
    <row r="63" spans="1:12" ht="12.75">
      <c r="A63" s="83">
        <v>10</v>
      </c>
      <c r="B63" s="15" t="s">
        <v>63</v>
      </c>
      <c r="C63" s="62">
        <v>3.779627062160647</v>
      </c>
      <c r="D63" s="61">
        <v>5.95</v>
      </c>
      <c r="E63" s="62">
        <v>4.2</v>
      </c>
      <c r="F63" s="92">
        <f aca="true" t="shared" si="4" ref="F63:F72">AVERAGE(C63:E63)</f>
        <v>4.643209020720216</v>
      </c>
      <c r="G63" s="63"/>
      <c r="H63" s="63"/>
      <c r="I63" s="63"/>
      <c r="J63" s="63"/>
      <c r="K63" s="63"/>
      <c r="L63" s="63"/>
    </row>
    <row r="64" spans="1:12" ht="12.75">
      <c r="A64" s="83">
        <v>20</v>
      </c>
      <c r="B64" s="15" t="s">
        <v>63</v>
      </c>
      <c r="C64" s="62">
        <v>5.764567524116565</v>
      </c>
      <c r="D64" s="61">
        <v>9.96</v>
      </c>
      <c r="E64" s="62">
        <v>7.1</v>
      </c>
      <c r="F64" s="92">
        <f t="shared" si="4"/>
        <v>7.608189174705522</v>
      </c>
      <c r="G64" s="63"/>
      <c r="H64" s="63"/>
      <c r="I64" s="63"/>
      <c r="J64" s="63"/>
      <c r="K64" s="63"/>
      <c r="L64" s="63"/>
    </row>
    <row r="65" spans="1:12" ht="12.75">
      <c r="A65" s="83">
        <v>30</v>
      </c>
      <c r="B65" s="15" t="s">
        <v>63</v>
      </c>
      <c r="C65" s="62">
        <v>7.181348520917292</v>
      </c>
      <c r="D65" s="61">
        <v>12.56</v>
      </c>
      <c r="E65" s="62">
        <v>10</v>
      </c>
      <c r="F65" s="92">
        <f t="shared" si="4"/>
        <v>9.913782840305764</v>
      </c>
      <c r="G65" s="63"/>
      <c r="H65" s="63"/>
      <c r="I65" s="63"/>
      <c r="J65" s="63"/>
      <c r="K65" s="63"/>
      <c r="L65" s="63"/>
    </row>
    <row r="66" spans="1:12" ht="12.75">
      <c r="A66" s="83">
        <v>40</v>
      </c>
      <c r="B66" s="15" t="s">
        <v>63</v>
      </c>
      <c r="C66" s="62">
        <v>7.910858985939131</v>
      </c>
      <c r="D66" s="61">
        <v>14.51</v>
      </c>
      <c r="E66" s="62">
        <v>11.2</v>
      </c>
      <c r="F66" s="92">
        <f t="shared" si="4"/>
        <v>11.206952995313044</v>
      </c>
      <c r="G66" s="63"/>
      <c r="H66" s="63"/>
      <c r="I66" s="63"/>
      <c r="J66" s="63"/>
      <c r="K66" s="63"/>
      <c r="L66" s="63"/>
    </row>
    <row r="67" spans="1:12" ht="12.75">
      <c r="A67" s="83">
        <v>50</v>
      </c>
      <c r="B67" s="15" t="s">
        <v>63</v>
      </c>
      <c r="C67" s="62">
        <v>9.742491132291201</v>
      </c>
      <c r="D67" s="61">
        <v>15.79</v>
      </c>
      <c r="E67" s="62">
        <v>12.7</v>
      </c>
      <c r="F67" s="92">
        <f t="shared" si="4"/>
        <v>12.744163710763734</v>
      </c>
      <c r="G67" s="63"/>
      <c r="H67" s="63"/>
      <c r="I67" s="63"/>
      <c r="J67" s="63"/>
      <c r="K67" s="63"/>
      <c r="L67" s="63"/>
    </row>
    <row r="68" spans="1:12" ht="12.75">
      <c r="A68" s="83">
        <v>60</v>
      </c>
      <c r="B68" s="15" t="s">
        <v>63</v>
      </c>
      <c r="C68" s="62">
        <v>15.599735031787697</v>
      </c>
      <c r="D68" s="61">
        <v>13.38</v>
      </c>
      <c r="E68" s="62">
        <v>14.5</v>
      </c>
      <c r="F68" s="92">
        <f t="shared" si="4"/>
        <v>14.4932450105959</v>
      </c>
      <c r="G68" s="63"/>
      <c r="H68" s="63"/>
      <c r="I68" s="63"/>
      <c r="J68" s="63"/>
      <c r="K68" s="63"/>
      <c r="L68" s="63"/>
    </row>
    <row r="69" spans="1:12" ht="12.75">
      <c r="A69" s="83">
        <v>70</v>
      </c>
      <c r="B69" s="15" t="s">
        <v>63</v>
      </c>
      <c r="C69" s="62">
        <v>10.57869780213987</v>
      </c>
      <c r="D69" s="61">
        <v>18.79</v>
      </c>
      <c r="E69" s="62">
        <v>15.9</v>
      </c>
      <c r="F69" s="92">
        <f t="shared" si="4"/>
        <v>15.089565934046623</v>
      </c>
      <c r="G69" s="63"/>
      <c r="H69" s="63"/>
      <c r="I69" s="63"/>
      <c r="J69" s="63"/>
      <c r="K69" s="63"/>
      <c r="L69" s="63"/>
    </row>
    <row r="70" spans="1:12" ht="12.75">
      <c r="A70" s="83">
        <v>80</v>
      </c>
      <c r="B70" s="15" t="s">
        <v>63</v>
      </c>
      <c r="C70" s="62">
        <v>10.979707332163485</v>
      </c>
      <c r="D70" s="61">
        <v>21.74</v>
      </c>
      <c r="E70" s="62">
        <v>16</v>
      </c>
      <c r="F70" s="92">
        <f t="shared" si="4"/>
        <v>16.239902444054493</v>
      </c>
      <c r="G70" s="63"/>
      <c r="H70" s="63"/>
      <c r="I70" s="63"/>
      <c r="J70" s="63"/>
      <c r="K70" s="63"/>
      <c r="L70" s="63"/>
    </row>
    <row r="71" spans="1:12" ht="12.75">
      <c r="A71" s="83">
        <v>90</v>
      </c>
      <c r="B71" s="15" t="s">
        <v>63</v>
      </c>
      <c r="C71" s="62">
        <v>11.283575792809081</v>
      </c>
      <c r="D71" s="61">
        <v>18.96</v>
      </c>
      <c r="E71" s="62">
        <v>16.8</v>
      </c>
      <c r="F71" s="92">
        <f t="shared" si="4"/>
        <v>15.68119193093636</v>
      </c>
      <c r="G71" s="63"/>
      <c r="H71" s="63"/>
      <c r="I71" s="63"/>
      <c r="J71" s="63"/>
      <c r="K71" s="63"/>
      <c r="L71" s="63"/>
    </row>
    <row r="72" spans="1:12" ht="13.5" thickBot="1">
      <c r="A72" s="82">
        <v>100</v>
      </c>
      <c r="B72" s="16" t="s">
        <v>63</v>
      </c>
      <c r="C72" s="88">
        <v>10.388131399758054</v>
      </c>
      <c r="D72" s="86">
        <v>18.33</v>
      </c>
      <c r="E72" s="88">
        <v>15.8</v>
      </c>
      <c r="F72" s="93">
        <f t="shared" si="4"/>
        <v>14.839377133252682</v>
      </c>
      <c r="G72" s="63"/>
      <c r="H72" s="63"/>
      <c r="I72" s="63"/>
      <c r="J72" s="63"/>
      <c r="K72" s="63"/>
      <c r="L72" s="63"/>
    </row>
    <row r="73" spans="2:4" ht="12.75">
      <c r="B73" s="63"/>
      <c r="C73" s="63"/>
      <c r="D73" s="27"/>
    </row>
    <row r="74" ht="12.75">
      <c r="D74" s="27"/>
    </row>
    <row r="75" ht="12.75">
      <c r="D75" s="27"/>
    </row>
    <row r="76" ht="12.75">
      <c r="D76" s="27"/>
    </row>
    <row r="77" ht="12.75">
      <c r="D77" s="27"/>
    </row>
    <row r="79" ht="12.75">
      <c r="D79" s="27"/>
    </row>
    <row r="80" ht="12.75">
      <c r="D80" s="27"/>
    </row>
    <row r="81" ht="12.75">
      <c r="D81" s="27"/>
    </row>
    <row r="82" ht="12.75">
      <c r="D82" s="27"/>
    </row>
    <row r="83" ht="12.75">
      <c r="D83" s="27"/>
    </row>
    <row r="84" ht="12.75">
      <c r="D84" s="2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dcterms:created xsi:type="dcterms:W3CDTF">2007-09-20T12:27:28Z</dcterms:created>
  <dcterms:modified xsi:type="dcterms:W3CDTF">2007-09-23T00:02:39Z</dcterms:modified>
  <cp:category/>
  <cp:version/>
  <cp:contentType/>
  <cp:contentStatus/>
</cp:coreProperties>
</file>